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siteccn-my.sharepoint.com/personal/fritz_wieland_positecgroup_com/Documents/Dokumente/PM/1 Products/3 Robotics/"/>
    </mc:Choice>
  </mc:AlternateContent>
  <xr:revisionPtr revIDLastSave="120" documentId="8_{85E4433C-BFB6-455A-B011-9321CC1F17AD}" xr6:coauthVersionLast="47" xr6:coauthVersionMax="47" xr10:uidLastSave="{3581FD3D-3E16-406D-A767-7990A778F80D}"/>
  <bookViews>
    <workbookView xWindow="28680" yWindow="-120" windowWidth="29040" windowHeight="15840" xr2:uid="{17B9B223-5BD2-46B6-9AD4-9DD80D8D5355}"/>
  </bookViews>
  <sheets>
    <sheet name="RTK Flächenleistung" sheetId="5" r:id="rId1"/>
    <sheet name="Stromkosten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5" l="1"/>
  <c r="E30" i="6" l="1"/>
  <c r="D30" i="6"/>
  <c r="E29" i="6"/>
  <c r="D29" i="6"/>
  <c r="E28" i="6"/>
  <c r="D28" i="6"/>
  <c r="E27" i="6"/>
  <c r="D27" i="6"/>
  <c r="E26" i="6"/>
  <c r="D26" i="6"/>
  <c r="I12" i="6"/>
  <c r="G12" i="6"/>
  <c r="E12" i="6"/>
  <c r="E16" i="6" s="1"/>
  <c r="E10" i="6"/>
  <c r="C10" i="6"/>
  <c r="C12" i="6" s="1"/>
  <c r="C13" i="6" s="1"/>
  <c r="C14" i="6" s="1"/>
  <c r="C8" i="6"/>
  <c r="I5" i="6"/>
  <c r="I8" i="6" s="1"/>
  <c r="G5" i="6"/>
  <c r="G8" i="6" s="1"/>
  <c r="E5" i="6"/>
  <c r="E8" i="6" s="1"/>
  <c r="E15" i="6" s="1"/>
  <c r="C5" i="6"/>
  <c r="Q4" i="5"/>
  <c r="R5" i="5"/>
  <c r="Q5" i="5" s="1"/>
  <c r="R6" i="5"/>
  <c r="Q6" i="5" s="1"/>
  <c r="R7" i="5"/>
  <c r="Q7" i="5" s="1"/>
  <c r="R8" i="5"/>
  <c r="Q8" i="5" s="1"/>
  <c r="R9" i="5"/>
  <c r="Q9" i="5" s="1"/>
  <c r="C38" i="5"/>
  <c r="C37" i="5" s="1"/>
  <c r="D61" i="5" s="1"/>
  <c r="F38" i="5"/>
  <c r="F37" i="5" s="1"/>
  <c r="G54" i="5" s="1"/>
  <c r="I38" i="5"/>
  <c r="I37" i="5" s="1"/>
  <c r="J53" i="5" s="1"/>
  <c r="L38" i="5"/>
  <c r="L37" i="5" s="1"/>
  <c r="M62" i="5" s="1"/>
  <c r="F39" i="5"/>
  <c r="R37" i="5"/>
  <c r="R38" i="5" s="1"/>
  <c r="O37" i="5"/>
  <c r="O38" i="5" s="1"/>
  <c r="O9" i="5"/>
  <c r="O8" i="5"/>
  <c r="O7" i="5"/>
  <c r="O6" i="5"/>
  <c r="O4" i="5"/>
  <c r="G16" i="6" l="1"/>
  <c r="D47" i="5"/>
  <c r="D50" i="5"/>
  <c r="D53" i="5"/>
  <c r="G47" i="5"/>
  <c r="G58" i="5"/>
  <c r="D54" i="5"/>
  <c r="G61" i="5"/>
  <c r="D57" i="5"/>
  <c r="F28" i="6"/>
  <c r="G57" i="5"/>
  <c r="G42" i="5"/>
  <c r="F42" i="5" s="1"/>
  <c r="G43" i="5"/>
  <c r="G46" i="5"/>
  <c r="F27" i="6"/>
  <c r="M60" i="5"/>
  <c r="G50" i="5"/>
  <c r="M61" i="5"/>
  <c r="D58" i="5"/>
  <c r="G53" i="5"/>
  <c r="D46" i="5"/>
  <c r="P48" i="5"/>
  <c r="I16" i="6"/>
  <c r="F26" i="6"/>
  <c r="F29" i="6"/>
  <c r="E13" i="6"/>
  <c r="E14" i="6" s="1"/>
  <c r="F30" i="6"/>
  <c r="F18" i="6"/>
  <c r="F19" i="6" s="1"/>
  <c r="E18" i="6"/>
  <c r="E19" i="6" s="1"/>
  <c r="G13" i="6"/>
  <c r="G14" i="6" s="1"/>
  <c r="G15" i="6"/>
  <c r="C15" i="6"/>
  <c r="I13" i="6"/>
  <c r="I14" i="6" s="1"/>
  <c r="I15" i="6"/>
  <c r="C16" i="6"/>
  <c r="P49" i="5"/>
  <c r="P55" i="5"/>
  <c r="P40" i="5"/>
  <c r="P57" i="5"/>
  <c r="P41" i="5"/>
  <c r="P59" i="5"/>
  <c r="P42" i="5"/>
  <c r="P51" i="5"/>
  <c r="P60" i="5"/>
  <c r="P58" i="5"/>
  <c r="P50" i="5"/>
  <c r="P43" i="5"/>
  <c r="P52" i="5"/>
  <c r="P61" i="5"/>
  <c r="P44" i="5"/>
  <c r="P53" i="5"/>
  <c r="P62" i="5"/>
  <c r="P39" i="5"/>
  <c r="O39" i="5" s="1"/>
  <c r="P45" i="5"/>
  <c r="P47" i="5"/>
  <c r="P56" i="5"/>
  <c r="J39" i="5"/>
  <c r="I39" i="5" s="1"/>
  <c r="M57" i="5"/>
  <c r="M55" i="5"/>
  <c r="M43" i="5"/>
  <c r="M45" i="5"/>
  <c r="M39" i="5"/>
  <c r="L39" i="5" s="1"/>
  <c r="M46" i="5"/>
  <c r="M56" i="5"/>
  <c r="M40" i="5"/>
  <c r="M48" i="5"/>
  <c r="M47" i="5"/>
  <c r="M49" i="5"/>
  <c r="M58" i="5"/>
  <c r="M59" i="5"/>
  <c r="M41" i="5"/>
  <c r="M50" i="5"/>
  <c r="M42" i="5"/>
  <c r="M52" i="5"/>
  <c r="M53" i="5"/>
  <c r="M44" i="5"/>
  <c r="M54" i="5"/>
  <c r="D42" i="5"/>
  <c r="D43" i="5"/>
  <c r="S62" i="5"/>
  <c r="G39" i="5"/>
  <c r="D39" i="5"/>
  <c r="C39" i="5" s="1"/>
  <c r="J58" i="5"/>
  <c r="J60" i="5"/>
  <c r="J41" i="5"/>
  <c r="J42" i="5"/>
  <c r="J43" i="5"/>
  <c r="J55" i="5"/>
  <c r="J44" i="5"/>
  <c r="J50" i="5"/>
  <c r="J62" i="5"/>
  <c r="J49" i="5"/>
  <c r="J46" i="5"/>
  <c r="J56" i="5"/>
  <c r="J48" i="5"/>
  <c r="J57" i="5"/>
  <c r="J51" i="5"/>
  <c r="S45" i="5"/>
  <c r="S49" i="5"/>
  <c r="S57" i="5"/>
  <c r="S41" i="5"/>
  <c r="S61" i="5"/>
  <c r="S39" i="5"/>
  <c r="R39" i="5" s="1"/>
  <c r="S47" i="5"/>
  <c r="S55" i="5"/>
  <c r="S53" i="5"/>
  <c r="S40" i="5"/>
  <c r="S48" i="5"/>
  <c r="S56" i="5"/>
  <c r="S58" i="5"/>
  <c r="S43" i="5"/>
  <c r="S51" i="5"/>
  <c r="S59" i="5"/>
  <c r="S42" i="5"/>
  <c r="S50" i="5"/>
  <c r="S44" i="5"/>
  <c r="S52" i="5"/>
  <c r="S60" i="5"/>
  <c r="S46" i="5"/>
  <c r="S54" i="5"/>
  <c r="F43" i="5" l="1"/>
  <c r="F46" i="5" s="1"/>
  <c r="F47" i="5" s="1"/>
  <c r="F50" i="5" s="1"/>
  <c r="F53" i="5" s="1"/>
  <c r="F54" i="5" s="1"/>
  <c r="F57" i="5" s="1"/>
  <c r="F58" i="5" s="1"/>
  <c r="F61" i="5" s="1"/>
  <c r="D18" i="6"/>
  <c r="D19" i="6" s="1"/>
  <c r="C18" i="6"/>
  <c r="C19" i="6" s="1"/>
  <c r="J18" i="6"/>
  <c r="J19" i="6" s="1"/>
  <c r="I18" i="6"/>
  <c r="I19" i="6" s="1"/>
  <c r="H18" i="6"/>
  <c r="H19" i="6" s="1"/>
  <c r="G18" i="6"/>
  <c r="G19" i="6" s="1"/>
  <c r="E21" i="6"/>
  <c r="E20" i="6"/>
  <c r="F21" i="6"/>
  <c r="F20" i="6"/>
  <c r="L40" i="5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C42" i="5"/>
  <c r="C43" i="5" s="1"/>
  <c r="C46" i="5" s="1"/>
  <c r="C47" i="5" s="1"/>
  <c r="C50" i="5" s="1"/>
  <c r="C53" i="5" s="1"/>
  <c r="C54" i="5" s="1"/>
  <c r="C57" i="5" s="1"/>
  <c r="C58" i="5" s="1"/>
  <c r="C61" i="5" s="1"/>
  <c r="I41" i="5"/>
  <c r="I42" i="5" s="1"/>
  <c r="I43" i="5" s="1"/>
  <c r="I44" i="5" s="1"/>
  <c r="I46" i="5" s="1"/>
  <c r="I48" i="5" s="1"/>
  <c r="I49" i="5" s="1"/>
  <c r="I50" i="5" s="1"/>
  <c r="I51" i="5" s="1"/>
  <c r="I53" i="5" s="1"/>
  <c r="I55" i="5" s="1"/>
  <c r="I56" i="5" s="1"/>
  <c r="I57" i="5" s="1"/>
  <c r="I58" i="5" s="1"/>
  <c r="I60" i="5" s="1"/>
  <c r="I62" i="5" s="1"/>
  <c r="R40" i="5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R54" i="5" s="1"/>
  <c r="R55" i="5" s="1"/>
  <c r="R56" i="5" s="1"/>
  <c r="R57" i="5" s="1"/>
  <c r="R58" i="5" s="1"/>
  <c r="R59" i="5" s="1"/>
  <c r="R60" i="5" s="1"/>
  <c r="R61" i="5" s="1"/>
  <c r="R62" i="5" s="1"/>
  <c r="O40" i="5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H21" i="6" l="1"/>
  <c r="H20" i="6"/>
  <c r="I21" i="6"/>
  <c r="I20" i="6"/>
  <c r="J21" i="6"/>
  <c r="J20" i="6"/>
  <c r="G20" i="6"/>
  <c r="G21" i="6"/>
  <c r="C20" i="6"/>
  <c r="C21" i="6"/>
  <c r="D21" i="6"/>
  <c r="D20" i="6"/>
</calcChain>
</file>

<file path=xl/sharedStrings.xml><?xml version="1.0" encoding="utf-8"?>
<sst xmlns="http://schemas.openxmlformats.org/spreadsheetml/2006/main" count="226" uniqueCount="116">
  <si>
    <t>KR236E</t>
  </si>
  <si>
    <t>KR233E</t>
  </si>
  <si>
    <t>KR172E</t>
  </si>
  <si>
    <t>KR173E</t>
  </si>
  <si>
    <t>KR174E</t>
  </si>
  <si>
    <t>Area</t>
  </si>
  <si>
    <t>-</t>
  </si>
  <si>
    <t>NA</t>
  </si>
  <si>
    <t>KR172E.A</t>
  </si>
  <si>
    <t xml:space="preserve">Cut </t>
  </si>
  <si>
    <t>Time</t>
  </si>
  <si>
    <t>Charge</t>
  </si>
  <si>
    <t>700m2</t>
  </si>
  <si>
    <t>1400m2</t>
  </si>
  <si>
    <t>2100m2</t>
  </si>
  <si>
    <t>900m2</t>
  </si>
  <si>
    <t>1800m2</t>
  </si>
  <si>
    <t>2300m2</t>
  </si>
  <si>
    <t>2700m2</t>
  </si>
  <si>
    <t>2800m2</t>
  </si>
  <si>
    <t>3500m2</t>
  </si>
  <si>
    <t>4200m2</t>
  </si>
  <si>
    <t>850m2</t>
  </si>
  <si>
    <t>1700m2</t>
  </si>
  <si>
    <t>1200m2</t>
  </si>
  <si>
    <t>2400m2</t>
  </si>
  <si>
    <t>3000m2</t>
  </si>
  <si>
    <t>3600m2</t>
  </si>
  <si>
    <t>3400m2</t>
  </si>
  <si>
    <t>5100m2</t>
  </si>
  <si>
    <t>6400m2</t>
  </si>
  <si>
    <t>3100m2</t>
  </si>
  <si>
    <t>6200m2</t>
  </si>
  <si>
    <t>12800m2</t>
  </si>
  <si>
    <t>16000m2</t>
  </si>
  <si>
    <t>9300m2</t>
  </si>
  <si>
    <t>19200m2</t>
  </si>
  <si>
    <t>7900m2</t>
  </si>
  <si>
    <t>7500m2</t>
  </si>
  <si>
    <t>15800m2</t>
  </si>
  <si>
    <t>19750m2</t>
  </si>
  <si>
    <t>23700m2</t>
  </si>
  <si>
    <t>4900m2</t>
  </si>
  <si>
    <t>22400m2</t>
  </si>
  <si>
    <t>13000m2</t>
  </si>
  <si>
    <t>27500m2</t>
  </si>
  <si>
    <t>9400m2</t>
  </si>
  <si>
    <t>6000m2</t>
  </si>
  <si>
    <t>4300m2</t>
  </si>
  <si>
    <t>2900m2</t>
  </si>
  <si>
    <t>2500m2</t>
  </si>
  <si>
    <t>11200m2</t>
  </si>
  <si>
    <t>3700m2</t>
  </si>
  <si>
    <t>7700m2</t>
  </si>
  <si>
    <t>10800m2</t>
  </si>
  <si>
    <t>2000m2</t>
  </si>
  <si>
    <t>1350m2</t>
  </si>
  <si>
    <t>2350m2</t>
  </si>
  <si>
    <t>RTK Modell</t>
  </si>
  <si>
    <t>Ladezeit</t>
  </si>
  <si>
    <t>Zyklen / Tag</t>
  </si>
  <si>
    <t>Ah des Akkus</t>
  </si>
  <si>
    <t>Schnittbreite (cm)</t>
  </si>
  <si>
    <t>Geschwindigkeit (m/s)</t>
  </si>
  <si>
    <t>Überlappung (cm)</t>
  </si>
  <si>
    <t>m² pro Minute</t>
  </si>
  <si>
    <t>m² pro Stunde</t>
  </si>
  <si>
    <t>Max. Flächenleistung</t>
  </si>
  <si>
    <t>Empf. Flächenleistung**</t>
  </si>
  <si>
    <t>Sport***</t>
  </si>
  <si>
    <t>Laufzeit in min pro Ladung</t>
  </si>
  <si>
    <t>Flächenleistung in m² / h *</t>
  </si>
  <si>
    <t>Gesamter Zyklus in min.</t>
  </si>
  <si>
    <t>* Die Flächenleistung pro Stunde ist die tatsächliche Flächenleistung unter der Annahme, dass der Mäher 10 % der Zeit ohne Mähen fährt</t>
  </si>
  <si>
    <t>** Empfohlene Flächenleistung: Mähen alle 48–72 Stunden</t>
  </si>
  <si>
    <t>Bei 12 Stunden pro Tag und einem Zeitplan von fünf oder sechs Tagen bedeutet dies, dass Folgendes zutreffen würde, wenn Sie alles zweimal pro Woche mähen würden:</t>
  </si>
  <si>
    <t>12 Stunden</t>
  </si>
  <si>
    <t>Alle 2 Tage</t>
  </si>
  <si>
    <t>an 5 Tagen pro Woche</t>
  </si>
  <si>
    <t>an 6 Tagen pro Woche</t>
  </si>
  <si>
    <t>an 7 Tagen pro Woche</t>
  </si>
  <si>
    <t>bei 16 Stunden pro Tag:</t>
  </si>
  <si>
    <t>16 Stunden</t>
  </si>
  <si>
    <t>Betriebsstunden pro Tag</t>
  </si>
  <si>
    <t>Akkuspannung (Nominal)</t>
  </si>
  <si>
    <t>Akkuspannung Max</t>
  </si>
  <si>
    <t>Akku Ah</t>
  </si>
  <si>
    <t>Akku Wh</t>
  </si>
  <si>
    <t>Netzzeil Typ (A)</t>
  </si>
  <si>
    <t>Ladezeit pro Akku (min)</t>
  </si>
  <si>
    <t>Ladezyklen pro Tag*</t>
  </si>
  <si>
    <t>* Wochen pro Jahr</t>
  </si>
  <si>
    <t>Mähzeit pro Akku (min)</t>
  </si>
  <si>
    <t>Mähzeit (min)</t>
  </si>
  <si>
    <t>Mähzeit (h)</t>
  </si>
  <si>
    <t>kWh-Verbrauch (pro Akkuladung)</t>
  </si>
  <si>
    <t>nur Akkuladung</t>
  </si>
  <si>
    <t>pro Tag</t>
  </si>
  <si>
    <t>pro Woche</t>
  </si>
  <si>
    <t>pro Monat</t>
  </si>
  <si>
    <t>kWh-Verbrauch (Verlust Spannungswandlung)***</t>
  </si>
  <si>
    <t>inkl. Verlust</t>
  </si>
  <si>
    <t>Akkuladung</t>
  </si>
  <si>
    <t>pro Jahr (siehe Wochen pro Jahr unten)</t>
  </si>
  <si>
    <t>Stromkosten pro kw/h in €</t>
  </si>
  <si>
    <t>Ladegerät (A)</t>
  </si>
  <si>
    <t>Watt</t>
  </si>
  <si>
    <t>Stromkosten pro Ladestunde**</t>
  </si>
  <si>
    <t>Stromkosten pro Stunde im Standby**</t>
  </si>
  <si>
    <t>Stromkosten pro Tag
(24h Zyklus)</t>
  </si>
  <si>
    <t>*** Es wird ein Verlust bei der Spannungswandlung von 10 % eingerechnet, inkl. dem Stromverbrauch im Standby-Betrieb</t>
  </si>
  <si>
    <t>*Die obigen Beispiele zeigen Lade- und Mähzyklen = Gesamtbetriebsstunden pro Tag / (Ladezeit + Mähzeit)</t>
  </si>
  <si>
    <t>** Die Ladegeräte verfügen über einen Standby-Modus, der nur 1–3 W Energie verbraucht, wenn der Mähroboter-Akku gerade nicht geladen wird</t>
  </si>
  <si>
    <t>Flächenleistung Kress RTK Mähroboter</t>
  </si>
  <si>
    <t>Stromkosten RTK Commercial Mähroboter (KR233 / KR236)</t>
  </si>
  <si>
    <t>*** Sport-Flächenleistung basierend auf einem Mähplan von 12–14 Stunden pro Tag an 5–6 Tagen pro Woche (Mähen der kompletten Fläche alle 48 Stunden)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</si>
</sst>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£&quot;#,##0.00;[Red]\-&quot;£&quot;#,##0.00"/>
    <numFmt numFmtId="165" formatCode="[$€-1809]#,##0.00;[Red]\-[$€-1809]#,##0.00"/>
    <numFmt numFmtId="166" formatCode="0.0"/>
    <numFmt numFmtId="167" formatCode="#,##0_ ;[Red]\-#,##0\ "/>
    <numFmt numFmtId="168" formatCode="[$€-83C]#,##0.00"/>
    <numFmt numFmtId="169" formatCode="[$€-83C]#,##0.00;[Red]\-[$€-83C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theme="1"/>
      <name val="Aptos"/>
      <family val="2"/>
    </font>
    <font>
      <u/>
      <sz val="11"/>
      <color theme="1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rgb="FFFE9A9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0" fillId="4" borderId="1" xfId="0" applyFill="1" applyBorder="1"/>
    <xf numFmtId="166" fontId="2" fillId="3" borderId="1" xfId="0" applyNumberFormat="1" applyFont="1" applyFill="1" applyBorder="1" applyAlignment="1">
      <alignment horizontal="center"/>
    </xf>
    <xf numFmtId="1" fontId="7" fillId="0" borderId="1" xfId="0" applyNumberFormat="1" applyFont="1" applyBorder="1"/>
    <xf numFmtId="1" fontId="7" fillId="4" borderId="1" xfId="0" applyNumberFormat="1" applyFont="1" applyFill="1" applyBorder="1"/>
    <xf numFmtId="1" fontId="7" fillId="4" borderId="1" xfId="0" applyNumberFormat="1" applyFont="1" applyFill="1" applyBorder="1" applyAlignment="1">
      <alignment horizontal="center"/>
    </xf>
    <xf numFmtId="1" fontId="7" fillId="0" borderId="1" xfId="0" quotePrefix="1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0" fillId="4" borderId="1" xfId="0" quotePrefix="1" applyNumberFormat="1" applyFill="1" applyBorder="1" applyAlignment="1">
      <alignment horizontal="center"/>
    </xf>
    <xf numFmtId="0" fontId="3" fillId="0" borderId="0" xfId="0" applyFont="1"/>
    <xf numFmtId="166" fontId="0" fillId="0" borderId="1" xfId="0" applyNumberFormat="1" applyBorder="1"/>
    <xf numFmtId="164" fontId="9" fillId="2" borderId="1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168" fontId="2" fillId="5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9" fontId="1" fillId="6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69" fontId="1" fillId="7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13" fillId="0" borderId="0" xfId="0" applyFont="1" applyAlignment="1">
      <alignment vertical="center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" fontId="0" fillId="6" borderId="1" xfId="0" applyNumberFormat="1" applyFill="1" applyBorder="1" applyAlignment="1">
      <alignment horizontal="center" vertical="top" wrapText="1"/>
    </xf>
    <xf numFmtId="1" fontId="0" fillId="7" borderId="1" xfId="0" applyNumberForma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66" fontId="0" fillId="6" borderId="1" xfId="0" applyNumberFormat="1" applyFill="1" applyBorder="1" applyAlignment="1">
      <alignment horizontal="center" vertical="top" wrapText="1"/>
    </xf>
    <xf numFmtId="166" fontId="0" fillId="7" borderId="1" xfId="0" applyNumberFormat="1" applyFill="1" applyBorder="1" applyAlignment="1">
      <alignment horizontal="center" vertical="top" wrapText="1"/>
    </xf>
    <xf numFmtId="1" fontId="0" fillId="6" borderId="2" xfId="0" applyNumberFormat="1" applyFill="1" applyBorder="1" applyAlignment="1">
      <alignment horizontal="center" vertical="top" wrapText="1"/>
    </xf>
    <xf numFmtId="1" fontId="0" fillId="6" borderId="3" xfId="0" applyNumberFormat="1" applyFill="1" applyBorder="1" applyAlignment="1">
      <alignment horizontal="center" vertical="top" wrapText="1"/>
    </xf>
    <xf numFmtId="1" fontId="0" fillId="7" borderId="2" xfId="0" applyNumberFormat="1" applyFill="1" applyBorder="1" applyAlignment="1">
      <alignment horizontal="center" vertical="top" wrapText="1"/>
    </xf>
    <xf numFmtId="1" fontId="0" fillId="7" borderId="3" xfId="0" applyNumberForma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2" fontId="0" fillId="6" borderId="1" xfId="0" applyNumberFormat="1" applyFill="1" applyBorder="1" applyAlignment="1">
      <alignment horizontal="center" vertical="top" wrapText="1"/>
    </xf>
    <xf numFmtId="2" fontId="0" fillId="7" borderId="1" xfId="0" applyNumberFormat="1" applyFill="1" applyBorder="1" applyAlignment="1">
      <alignment horizontal="center" vertical="top" wrapText="1"/>
    </xf>
    <xf numFmtId="2" fontId="0" fillId="6" borderId="2" xfId="0" applyNumberFormat="1" applyFill="1" applyBorder="1" applyAlignment="1">
      <alignment horizontal="center" vertical="top" wrapText="1"/>
    </xf>
    <xf numFmtId="2" fontId="0" fillId="6" borderId="3" xfId="0" applyNumberFormat="1" applyFill="1" applyBorder="1" applyAlignment="1">
      <alignment horizontal="center" vertical="top" wrapText="1"/>
    </xf>
    <xf numFmtId="2" fontId="0" fillId="7" borderId="2" xfId="0" applyNumberFormat="1" applyFill="1" applyBorder="1" applyAlignment="1">
      <alignment horizontal="center" vertical="top" wrapText="1"/>
    </xf>
    <xf numFmtId="2" fontId="0" fillId="7" borderId="3" xfId="0" applyNumberForma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E9A98"/>
      <color rgb="FFDA0000"/>
      <color rgb="FFFD734D"/>
      <color rgb="FFFA8C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D2B8-2A2F-42D4-A865-4154A7C8C074}">
  <dimension ref="B1:U88"/>
  <sheetViews>
    <sheetView tabSelected="1" zoomScaleNormal="100" zoomScaleSheetLayoutView="80" workbookViewId="0"/>
  </sheetViews>
  <sheetFormatPr baseColWidth="10" defaultColWidth="8.7265625" defaultRowHeight="14.5" x14ac:dyDescent="0.35"/>
  <cols>
    <col min="1" max="1" width="5.26953125" customWidth="1"/>
    <col min="2" max="2" width="21.1796875" customWidth="1"/>
    <col min="3" max="3" width="12.7265625" customWidth="1"/>
    <col min="4" max="5" width="7.36328125" hidden="1" customWidth="1"/>
    <col min="6" max="6" width="12.54296875" customWidth="1"/>
    <col min="7" max="8" width="7.54296875" hidden="1" customWidth="1"/>
    <col min="9" max="9" width="15.1796875" customWidth="1"/>
    <col min="10" max="11" width="7.36328125" hidden="1" customWidth="1"/>
    <col min="12" max="12" width="12.7265625" customWidth="1"/>
    <col min="13" max="14" width="7.54296875" hidden="1" customWidth="1"/>
    <col min="15" max="15" width="14.453125" bestFit="1" customWidth="1"/>
    <col min="16" max="16" width="7.36328125" hidden="1" customWidth="1"/>
    <col min="17" max="17" width="6.6328125" hidden="1" customWidth="1"/>
    <col min="18" max="18" width="12.7265625" customWidth="1"/>
    <col min="19" max="20" width="7.36328125" hidden="1" customWidth="1"/>
    <col min="21" max="21" width="12.7265625" customWidth="1"/>
  </cols>
  <sheetData>
    <row r="1" spans="2:21" ht="31.5" customHeight="1" x14ac:dyDescent="0.65">
      <c r="B1" s="6" t="s">
        <v>113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5"/>
      <c r="T1" s="25"/>
      <c r="U1" s="25"/>
    </row>
    <row r="3" spans="2:21" ht="43.5" x14ac:dyDescent="0.35">
      <c r="B3" s="19" t="s">
        <v>58</v>
      </c>
      <c r="C3" s="19" t="s">
        <v>61</v>
      </c>
      <c r="D3" s="19"/>
      <c r="E3" s="19"/>
      <c r="F3" s="50" t="s">
        <v>70</v>
      </c>
      <c r="G3" s="19"/>
      <c r="H3" s="19"/>
      <c r="I3" s="50" t="s">
        <v>71</v>
      </c>
      <c r="J3" s="19"/>
      <c r="K3" s="19"/>
      <c r="L3" s="19" t="s">
        <v>59</v>
      </c>
      <c r="M3" s="19"/>
      <c r="N3" s="19"/>
      <c r="O3" s="50" t="s">
        <v>72</v>
      </c>
      <c r="P3" s="19"/>
      <c r="Q3" s="19"/>
      <c r="R3" s="19" t="s">
        <v>60</v>
      </c>
    </row>
    <row r="4" spans="2:21" x14ac:dyDescent="0.35">
      <c r="B4" s="7" t="s">
        <v>2</v>
      </c>
      <c r="C4" s="7">
        <v>4</v>
      </c>
      <c r="D4" s="7"/>
      <c r="E4" s="7"/>
      <c r="F4" s="26">
        <v>60</v>
      </c>
      <c r="G4" s="7"/>
      <c r="H4" s="7"/>
      <c r="I4" s="26">
        <v>170</v>
      </c>
      <c r="J4" s="7"/>
      <c r="K4" s="7"/>
      <c r="L4" s="7">
        <v>160</v>
      </c>
      <c r="M4" s="7"/>
      <c r="N4" s="7"/>
      <c r="O4" s="7">
        <f>F4+L4</f>
        <v>220</v>
      </c>
      <c r="P4" s="7"/>
      <c r="Q4" s="35">
        <f t="shared" ref="Q4:Q9" si="0">(R4*L4)/60</f>
        <v>16</v>
      </c>
      <c r="R4" s="7">
        <f>SUM(E39:E62)/160</f>
        <v>6</v>
      </c>
    </row>
    <row r="5" spans="2:21" x14ac:dyDescent="0.35">
      <c r="B5" s="7" t="s">
        <v>8</v>
      </c>
      <c r="C5" s="7">
        <v>4</v>
      </c>
      <c r="D5" s="7"/>
      <c r="E5" s="7"/>
      <c r="F5" s="26">
        <v>60</v>
      </c>
      <c r="G5" s="7"/>
      <c r="H5" s="7"/>
      <c r="I5" s="26">
        <v>170</v>
      </c>
      <c r="J5" s="7"/>
      <c r="K5" s="7"/>
      <c r="L5" s="7">
        <v>160</v>
      </c>
      <c r="M5" s="7"/>
      <c r="N5" s="7"/>
      <c r="O5" s="7">
        <v>280</v>
      </c>
      <c r="P5" s="7"/>
      <c r="Q5" s="35">
        <f t="shared" si="0"/>
        <v>16</v>
      </c>
      <c r="R5" s="7">
        <f>SUM(H39:H62)/160</f>
        <v>6</v>
      </c>
    </row>
    <row r="6" spans="2:21" x14ac:dyDescent="0.35">
      <c r="B6" s="7" t="s">
        <v>3</v>
      </c>
      <c r="C6" s="7">
        <v>4</v>
      </c>
      <c r="D6" s="7"/>
      <c r="E6" s="7"/>
      <c r="F6" s="26">
        <v>60</v>
      </c>
      <c r="G6" s="7"/>
      <c r="H6" s="7"/>
      <c r="I6" s="26">
        <v>170</v>
      </c>
      <c r="J6" s="7"/>
      <c r="K6" s="7"/>
      <c r="L6" s="7">
        <v>80</v>
      </c>
      <c r="M6" s="7"/>
      <c r="N6" s="7"/>
      <c r="O6" s="7">
        <f>F6+L6</f>
        <v>140</v>
      </c>
      <c r="P6" s="7"/>
      <c r="Q6" s="35">
        <f t="shared" si="0"/>
        <v>13.333333333333334</v>
      </c>
      <c r="R6" s="7">
        <f>SUM(K39:K62)/80</f>
        <v>10</v>
      </c>
    </row>
    <row r="7" spans="2:21" x14ac:dyDescent="0.35">
      <c r="B7" s="7" t="s">
        <v>4</v>
      </c>
      <c r="C7" s="7">
        <v>6</v>
      </c>
      <c r="D7" s="7"/>
      <c r="E7" s="7"/>
      <c r="F7" s="26">
        <v>85</v>
      </c>
      <c r="G7" s="7"/>
      <c r="H7" s="7"/>
      <c r="I7" s="26">
        <v>195</v>
      </c>
      <c r="J7" s="7"/>
      <c r="K7" s="7"/>
      <c r="L7" s="7">
        <v>72</v>
      </c>
      <c r="M7" s="7"/>
      <c r="N7" s="7"/>
      <c r="O7" s="7">
        <f>F7+L7</f>
        <v>157</v>
      </c>
      <c r="P7" s="7"/>
      <c r="Q7" s="35">
        <f t="shared" si="0"/>
        <v>10.8</v>
      </c>
      <c r="R7" s="7">
        <f>SUM(N39:N62)/72</f>
        <v>9</v>
      </c>
    </row>
    <row r="8" spans="2:21" x14ac:dyDescent="0.35">
      <c r="B8" s="7" t="s">
        <v>1</v>
      </c>
      <c r="C8" s="7">
        <v>10</v>
      </c>
      <c r="D8" s="7"/>
      <c r="E8" s="7"/>
      <c r="F8" s="26">
        <v>80</v>
      </c>
      <c r="G8" s="7"/>
      <c r="H8" s="7"/>
      <c r="I8" s="26">
        <v>640</v>
      </c>
      <c r="J8" s="7"/>
      <c r="K8" s="7"/>
      <c r="L8" s="7">
        <v>84</v>
      </c>
      <c r="M8" s="7"/>
      <c r="N8" s="7"/>
      <c r="O8" s="7">
        <f>F8+L8</f>
        <v>164</v>
      </c>
      <c r="P8" s="7"/>
      <c r="Q8" s="35">
        <f t="shared" si="0"/>
        <v>12.166666666666666</v>
      </c>
      <c r="R8" s="35">
        <f>SUM(Q39:Q62)/84</f>
        <v>8.6904761904761898</v>
      </c>
    </row>
    <row r="9" spans="2:21" x14ac:dyDescent="0.35">
      <c r="B9" s="7" t="s">
        <v>0</v>
      </c>
      <c r="C9" s="7">
        <v>10</v>
      </c>
      <c r="D9" s="7"/>
      <c r="E9" s="7"/>
      <c r="F9" s="26">
        <v>66</v>
      </c>
      <c r="G9" s="7"/>
      <c r="H9" s="7"/>
      <c r="I9" s="26">
        <v>850</v>
      </c>
      <c r="J9" s="7"/>
      <c r="K9" s="7"/>
      <c r="L9" s="7">
        <v>30</v>
      </c>
      <c r="M9" s="7"/>
      <c r="N9" s="7"/>
      <c r="O9" s="7">
        <f>F9+L9</f>
        <v>96</v>
      </c>
      <c r="P9" s="7"/>
      <c r="Q9" s="35">
        <f t="shared" si="0"/>
        <v>7.5</v>
      </c>
      <c r="R9" s="7">
        <f>SUM(T39:T62)/30</f>
        <v>15</v>
      </c>
    </row>
    <row r="11" spans="2:21" hidden="1" x14ac:dyDescent="0.35">
      <c r="B11" s="8"/>
      <c r="C11" s="8" t="s">
        <v>2</v>
      </c>
      <c r="D11" s="8"/>
      <c r="E11" s="8"/>
      <c r="F11" s="8"/>
      <c r="G11" s="8"/>
      <c r="H11" s="8"/>
      <c r="I11" s="8" t="s">
        <v>3</v>
      </c>
      <c r="J11" s="8"/>
      <c r="K11" s="8"/>
      <c r="L11" s="8" t="s">
        <v>4</v>
      </c>
      <c r="M11" s="8"/>
      <c r="N11" s="8"/>
      <c r="O11" s="8" t="s">
        <v>1</v>
      </c>
      <c r="P11" s="8"/>
      <c r="Q11" s="8"/>
      <c r="R11" s="8" t="s">
        <v>0</v>
      </c>
    </row>
    <row r="12" spans="2:21" hidden="1" x14ac:dyDescent="0.35">
      <c r="B12" s="8">
        <v>100</v>
      </c>
      <c r="C12" s="8">
        <v>60</v>
      </c>
      <c r="D12" s="8"/>
      <c r="E12" s="8"/>
      <c r="F12" s="8"/>
      <c r="G12" s="8"/>
      <c r="H12" s="8"/>
      <c r="I12" s="8">
        <v>60</v>
      </c>
      <c r="J12" s="8"/>
      <c r="K12" s="8"/>
      <c r="L12" s="8">
        <v>60</v>
      </c>
      <c r="M12" s="8"/>
      <c r="N12" s="8"/>
      <c r="O12" s="8">
        <v>15</v>
      </c>
      <c r="P12" s="8"/>
      <c r="Q12" s="8"/>
      <c r="R12" s="8">
        <v>12</v>
      </c>
    </row>
    <row r="13" spans="2:21" hidden="1" x14ac:dyDescent="0.35">
      <c r="B13" s="8">
        <v>200</v>
      </c>
      <c r="C13" s="8">
        <v>340</v>
      </c>
      <c r="D13" s="8"/>
      <c r="E13" s="8"/>
      <c r="F13" s="8"/>
      <c r="G13" s="8"/>
      <c r="H13" s="8"/>
      <c r="I13" s="8">
        <v>200</v>
      </c>
      <c r="J13" s="8"/>
      <c r="K13" s="8"/>
      <c r="L13" s="8">
        <v>192</v>
      </c>
      <c r="M13" s="8"/>
      <c r="N13" s="8"/>
      <c r="O13" s="8">
        <v>30</v>
      </c>
      <c r="P13" s="8"/>
      <c r="Q13" s="8"/>
      <c r="R13" s="8">
        <v>24</v>
      </c>
      <c r="U13" s="8"/>
    </row>
    <row r="14" spans="2:21" hidden="1" x14ac:dyDescent="0.35">
      <c r="B14" s="8">
        <v>300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45</v>
      </c>
      <c r="P14" s="8"/>
      <c r="Q14" s="8"/>
      <c r="R14" s="8">
        <v>36</v>
      </c>
      <c r="U14" s="8"/>
    </row>
    <row r="15" spans="2:21" hidden="1" x14ac:dyDescent="0.35">
      <c r="B15" s="8">
        <v>400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v>60</v>
      </c>
      <c r="P15" s="8"/>
      <c r="Q15" s="8"/>
      <c r="R15" s="8">
        <v>48</v>
      </c>
      <c r="U15" s="8"/>
    </row>
    <row r="16" spans="2:21" hidden="1" x14ac:dyDescent="0.35">
      <c r="B16" s="8">
        <v>500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179</v>
      </c>
      <c r="P16" s="8"/>
      <c r="Q16" s="8"/>
      <c r="R16" s="8">
        <v>60</v>
      </c>
      <c r="U16" s="8"/>
    </row>
    <row r="17" spans="2:21" hidden="1" x14ac:dyDescent="0.35">
      <c r="B17" s="8">
        <v>600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194</v>
      </c>
      <c r="P17" s="8"/>
      <c r="Q17" s="8"/>
      <c r="R17" s="8">
        <v>104</v>
      </c>
      <c r="U17" s="8"/>
    </row>
    <row r="18" spans="2:21" hidden="1" x14ac:dyDescent="0.35">
      <c r="B18" s="8">
        <v>700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209</v>
      </c>
      <c r="P18" s="8"/>
      <c r="Q18" s="8"/>
      <c r="R18" s="8">
        <v>116</v>
      </c>
      <c r="U18" s="8"/>
    </row>
    <row r="19" spans="2:21" hidden="1" x14ac:dyDescent="0.35">
      <c r="B19" s="8">
        <v>1000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v>120</v>
      </c>
      <c r="U19" s="8"/>
    </row>
    <row r="20" spans="2:21" hidden="1" x14ac:dyDescent="0.35">
      <c r="B20" s="8">
        <v>1500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180</v>
      </c>
      <c r="U20" s="8"/>
    </row>
    <row r="21" spans="2:21" hidden="1" x14ac:dyDescent="0.35">
      <c r="B21" s="8">
        <v>2000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>
        <v>240</v>
      </c>
      <c r="U21" s="8"/>
    </row>
    <row r="22" spans="2:21" hidden="1" x14ac:dyDescent="0.35">
      <c r="B22" s="8">
        <v>2500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300</v>
      </c>
      <c r="U22" s="8"/>
    </row>
    <row r="23" spans="2:21" hidden="1" x14ac:dyDescent="0.35">
      <c r="B23" s="8">
        <v>3000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360</v>
      </c>
      <c r="U23" s="8"/>
    </row>
    <row r="24" spans="2:21" hidden="1" x14ac:dyDescent="0.35">
      <c r="B24" s="8">
        <v>3500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420</v>
      </c>
      <c r="U24" s="8"/>
    </row>
    <row r="25" spans="2:21" hidden="1" x14ac:dyDescent="0.35">
      <c r="B25" s="8">
        <v>4000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480</v>
      </c>
      <c r="U25" s="8"/>
    </row>
    <row r="26" spans="2:21" hidden="1" x14ac:dyDescent="0.35">
      <c r="B26" s="8">
        <v>4500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>
        <v>540</v>
      </c>
      <c r="U26" s="8"/>
    </row>
    <row r="27" spans="2:21" hidden="1" x14ac:dyDescent="0.35">
      <c r="B27" s="8">
        <v>5000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v>600</v>
      </c>
      <c r="U27" s="8"/>
    </row>
    <row r="28" spans="2:21" hidden="1" x14ac:dyDescent="0.35">
      <c r="B28" s="8">
        <v>5500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v>660</v>
      </c>
    </row>
    <row r="29" spans="2:21" hidden="1" x14ac:dyDescent="0.35">
      <c r="B29" s="8">
        <v>6000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>
        <v>720</v>
      </c>
    </row>
    <row r="30" spans="2:21" hidden="1" x14ac:dyDescent="0.35">
      <c r="B30" s="8">
        <v>6500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>
        <v>780</v>
      </c>
    </row>
    <row r="31" spans="2:21" hidden="1" x14ac:dyDescent="0.35">
      <c r="B31" s="8">
        <v>7000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v>840</v>
      </c>
    </row>
    <row r="33" spans="2:20" x14ac:dyDescent="0.35">
      <c r="B33" s="17"/>
      <c r="C33" s="17" t="s">
        <v>2</v>
      </c>
      <c r="D33" s="17"/>
      <c r="E33" s="17"/>
      <c r="F33" s="17" t="s">
        <v>8</v>
      </c>
      <c r="G33" s="17"/>
      <c r="H33" s="17"/>
      <c r="I33" s="17" t="s">
        <v>3</v>
      </c>
      <c r="J33" s="17"/>
      <c r="K33" s="17"/>
      <c r="L33" s="17" t="s">
        <v>4</v>
      </c>
      <c r="M33" s="17"/>
      <c r="N33" s="17"/>
      <c r="O33" s="17" t="s">
        <v>1</v>
      </c>
      <c r="P33" s="17"/>
      <c r="Q33" s="17"/>
      <c r="R33" s="17" t="s">
        <v>0</v>
      </c>
      <c r="S33" s="18"/>
      <c r="T33" s="17"/>
    </row>
    <row r="34" spans="2:20" x14ac:dyDescent="0.35">
      <c r="B34" s="17" t="s">
        <v>62</v>
      </c>
      <c r="C34" s="17">
        <v>20</v>
      </c>
      <c r="D34" s="17"/>
      <c r="E34" s="17"/>
      <c r="F34" s="17">
        <v>20</v>
      </c>
      <c r="G34" s="17"/>
      <c r="H34" s="17"/>
      <c r="I34" s="17">
        <v>20</v>
      </c>
      <c r="J34" s="17"/>
      <c r="K34" s="17"/>
      <c r="L34" s="17">
        <v>22</v>
      </c>
      <c r="M34" s="17"/>
      <c r="N34" s="17"/>
      <c r="O34" s="17">
        <v>35</v>
      </c>
      <c r="P34" s="17"/>
      <c r="Q34" s="17"/>
      <c r="R34" s="17">
        <v>35</v>
      </c>
      <c r="S34" s="18"/>
      <c r="T34" s="17"/>
    </row>
    <row r="35" spans="2:20" x14ac:dyDescent="0.35">
      <c r="B35" s="17" t="s">
        <v>63</v>
      </c>
      <c r="C35" s="17">
        <v>0.4</v>
      </c>
      <c r="D35" s="17"/>
      <c r="E35" s="17"/>
      <c r="F35" s="17">
        <v>0.4</v>
      </c>
      <c r="G35" s="17"/>
      <c r="H35" s="17"/>
      <c r="I35" s="17">
        <v>0.4</v>
      </c>
      <c r="J35" s="17"/>
      <c r="K35" s="17"/>
      <c r="L35" s="17">
        <v>0.4</v>
      </c>
      <c r="M35" s="17"/>
      <c r="N35" s="17"/>
      <c r="O35" s="17">
        <v>0.6</v>
      </c>
      <c r="P35" s="17"/>
      <c r="Q35" s="17"/>
      <c r="R35" s="17">
        <v>0.8</v>
      </c>
      <c r="S35" s="18"/>
      <c r="T35" s="17"/>
    </row>
    <row r="36" spans="2:20" x14ac:dyDescent="0.35">
      <c r="B36" s="17" t="s">
        <v>64</v>
      </c>
      <c r="C36" s="17">
        <v>7</v>
      </c>
      <c r="D36" s="17"/>
      <c r="E36" s="17"/>
      <c r="F36" s="17">
        <v>7</v>
      </c>
      <c r="G36" s="17"/>
      <c r="H36" s="17"/>
      <c r="I36" s="17">
        <v>7</v>
      </c>
      <c r="J36" s="17"/>
      <c r="K36" s="17"/>
      <c r="L36" s="17">
        <v>7</v>
      </c>
      <c r="M36" s="17"/>
      <c r="N36" s="17"/>
      <c r="O36" s="17">
        <v>2</v>
      </c>
      <c r="P36" s="17"/>
      <c r="Q36" s="17"/>
      <c r="R36" s="17">
        <v>2</v>
      </c>
      <c r="S36" s="18"/>
      <c r="T36" s="17"/>
    </row>
    <row r="37" spans="2:20" x14ac:dyDescent="0.35">
      <c r="B37" s="17" t="s">
        <v>65</v>
      </c>
      <c r="C37" s="27">
        <f>C38/60</f>
        <v>2.8333333333333335</v>
      </c>
      <c r="D37" s="17" t="s">
        <v>9</v>
      </c>
      <c r="E37" s="17" t="s">
        <v>11</v>
      </c>
      <c r="F37" s="27">
        <f>F38/60</f>
        <v>2.8333333333333335</v>
      </c>
      <c r="G37" s="17" t="s">
        <v>9</v>
      </c>
      <c r="H37" s="17" t="s">
        <v>11</v>
      </c>
      <c r="I37" s="27">
        <f>I38/60</f>
        <v>2.8333333333333335</v>
      </c>
      <c r="J37" s="17" t="s">
        <v>9</v>
      </c>
      <c r="K37" s="17" t="s">
        <v>11</v>
      </c>
      <c r="L37" s="27">
        <f>L38/60</f>
        <v>3.25</v>
      </c>
      <c r="M37" s="17" t="s">
        <v>9</v>
      </c>
      <c r="N37" s="17" t="s">
        <v>11</v>
      </c>
      <c r="O37" s="27">
        <f>I8/F8</f>
        <v>8</v>
      </c>
      <c r="P37" s="17" t="s">
        <v>9</v>
      </c>
      <c r="Q37" s="17" t="s">
        <v>11</v>
      </c>
      <c r="R37" s="27">
        <f>I9/F9</f>
        <v>12.878787878787879</v>
      </c>
      <c r="S37" s="17" t="s">
        <v>9</v>
      </c>
      <c r="T37" s="17" t="s">
        <v>11</v>
      </c>
    </row>
    <row r="38" spans="2:20" x14ac:dyDescent="0.35">
      <c r="B38" s="17" t="s">
        <v>66</v>
      </c>
      <c r="C38" s="17">
        <f>I4</f>
        <v>170</v>
      </c>
      <c r="D38" s="17" t="s">
        <v>5</v>
      </c>
      <c r="E38" s="17" t="s">
        <v>10</v>
      </c>
      <c r="F38" s="17">
        <f>I5</f>
        <v>170</v>
      </c>
      <c r="G38" s="17" t="s">
        <v>5</v>
      </c>
      <c r="H38" s="17" t="s">
        <v>10</v>
      </c>
      <c r="I38" s="17">
        <f>I6</f>
        <v>170</v>
      </c>
      <c r="J38" s="17" t="s">
        <v>5</v>
      </c>
      <c r="K38" s="17" t="s">
        <v>10</v>
      </c>
      <c r="L38" s="32">
        <f>I7</f>
        <v>195</v>
      </c>
      <c r="M38" s="17" t="s">
        <v>5</v>
      </c>
      <c r="N38" s="17" t="s">
        <v>10</v>
      </c>
      <c r="O38" s="32">
        <f>O37*60</f>
        <v>480</v>
      </c>
      <c r="P38" s="17" t="s">
        <v>5</v>
      </c>
      <c r="Q38" s="17" t="s">
        <v>10</v>
      </c>
      <c r="R38" s="32">
        <f>R37*60</f>
        <v>772.72727272727275</v>
      </c>
      <c r="S38" s="17" t="s">
        <v>5</v>
      </c>
      <c r="T38" s="17" t="s">
        <v>10</v>
      </c>
    </row>
    <row r="39" spans="2:20" x14ac:dyDescent="0.35">
      <c r="B39" s="8">
        <v>1</v>
      </c>
      <c r="C39" s="8">
        <f>D39</f>
        <v>170</v>
      </c>
      <c r="D39" s="10">
        <f>$C$37*60</f>
        <v>170</v>
      </c>
      <c r="E39" s="10"/>
      <c r="F39" s="12">
        <f>I5</f>
        <v>170</v>
      </c>
      <c r="G39" s="14">
        <f>$F$37*60</f>
        <v>170</v>
      </c>
      <c r="H39" s="14"/>
      <c r="I39" s="8">
        <f>J39</f>
        <v>170</v>
      </c>
      <c r="J39" s="10">
        <f>$I$37*60</f>
        <v>170</v>
      </c>
      <c r="K39" s="10"/>
      <c r="L39" s="12">
        <f>M39</f>
        <v>195</v>
      </c>
      <c r="M39" s="14">
        <f>$L$37*60</f>
        <v>195</v>
      </c>
      <c r="N39" s="14"/>
      <c r="O39" s="8">
        <f>P39</f>
        <v>480</v>
      </c>
      <c r="P39" s="10">
        <f>$O$37*60</f>
        <v>480</v>
      </c>
      <c r="Q39" s="10"/>
      <c r="R39" s="12">
        <f>S39</f>
        <v>772.72727272727275</v>
      </c>
      <c r="S39" s="28">
        <f>$R$37*60</f>
        <v>772.72727272727275</v>
      </c>
      <c r="T39" s="14"/>
    </row>
    <row r="40" spans="2:20" x14ac:dyDescent="0.35">
      <c r="B40" s="8">
        <v>2</v>
      </c>
      <c r="C40" s="9" t="s">
        <v>6</v>
      </c>
      <c r="D40" s="11"/>
      <c r="E40" s="11">
        <v>60</v>
      </c>
      <c r="F40" s="9" t="s">
        <v>6</v>
      </c>
      <c r="G40" s="31"/>
      <c r="H40" s="11">
        <v>60</v>
      </c>
      <c r="I40" s="9" t="s">
        <v>6</v>
      </c>
      <c r="J40" s="11" t="s">
        <v>6</v>
      </c>
      <c r="K40" s="11">
        <v>60</v>
      </c>
      <c r="L40" s="13">
        <f t="shared" ref="L40:L62" si="1">L39+M40</f>
        <v>276.25</v>
      </c>
      <c r="M40" s="14">
        <f>$L$37*25</f>
        <v>81.25</v>
      </c>
      <c r="N40" s="14">
        <v>35</v>
      </c>
      <c r="O40" s="12">
        <f t="shared" ref="O40:O62" si="2">O39+P40</f>
        <v>640</v>
      </c>
      <c r="P40" s="10">
        <f>$O$37*20</f>
        <v>160</v>
      </c>
      <c r="Q40" s="10">
        <v>40</v>
      </c>
      <c r="R40" s="12">
        <f t="shared" ref="R40:R62" si="3">R39+S40</f>
        <v>1159.090909090909</v>
      </c>
      <c r="S40" s="28">
        <f>$R$37*30</f>
        <v>386.36363636363637</v>
      </c>
      <c r="T40" s="14">
        <v>30</v>
      </c>
    </row>
    <row r="41" spans="2:20" x14ac:dyDescent="0.35">
      <c r="B41" s="8">
        <v>3</v>
      </c>
      <c r="C41" s="9" t="s">
        <v>6</v>
      </c>
      <c r="D41" s="11"/>
      <c r="E41" s="11">
        <v>60</v>
      </c>
      <c r="F41" s="9" t="s">
        <v>6</v>
      </c>
      <c r="G41" s="31"/>
      <c r="H41" s="11">
        <v>60</v>
      </c>
      <c r="I41" s="12">
        <f>I39+J41</f>
        <v>283.33333333333337</v>
      </c>
      <c r="J41" s="14">
        <f>$I$37*40</f>
        <v>113.33333333333334</v>
      </c>
      <c r="K41" s="14">
        <v>20</v>
      </c>
      <c r="L41" s="13">
        <f t="shared" si="1"/>
        <v>351</v>
      </c>
      <c r="M41" s="14">
        <f>$L$37*23</f>
        <v>74.75</v>
      </c>
      <c r="N41" s="14">
        <v>37</v>
      </c>
      <c r="O41" s="12">
        <f t="shared" si="2"/>
        <v>768</v>
      </c>
      <c r="P41" s="10">
        <f>$O$37*16</f>
        <v>128</v>
      </c>
      <c r="Q41" s="10">
        <v>44</v>
      </c>
      <c r="R41" s="12">
        <f t="shared" si="3"/>
        <v>1700</v>
      </c>
      <c r="S41" s="28">
        <f>$R$37*42</f>
        <v>540.90909090909088</v>
      </c>
      <c r="T41" s="14">
        <v>18</v>
      </c>
    </row>
    <row r="42" spans="2:20" x14ac:dyDescent="0.35">
      <c r="B42" s="8">
        <v>4</v>
      </c>
      <c r="C42" s="13">
        <f>C39+D42</f>
        <v>226.66666666666669</v>
      </c>
      <c r="D42" s="14">
        <f>$C$37*20</f>
        <v>56.666666666666671</v>
      </c>
      <c r="E42" s="14">
        <v>40</v>
      </c>
      <c r="F42" s="13">
        <f>F39+G42</f>
        <v>226.66666666666669</v>
      </c>
      <c r="G42" s="14">
        <f>$F$37*20</f>
        <v>56.666666666666671</v>
      </c>
      <c r="H42" s="14">
        <v>40</v>
      </c>
      <c r="I42" s="12">
        <f>I41+J42</f>
        <v>340.00000000000006</v>
      </c>
      <c r="J42" s="14">
        <f>$I$37*20</f>
        <v>56.666666666666671</v>
      </c>
      <c r="K42" s="14">
        <v>40</v>
      </c>
      <c r="L42" s="13">
        <f t="shared" si="1"/>
        <v>546</v>
      </c>
      <c r="M42" s="14">
        <f>$L$37*60</f>
        <v>195</v>
      </c>
      <c r="N42" s="14"/>
      <c r="O42" s="12">
        <f t="shared" si="2"/>
        <v>1248</v>
      </c>
      <c r="P42" s="10">
        <f>$O$37*60</f>
        <v>480</v>
      </c>
      <c r="Q42" s="10"/>
      <c r="R42" s="12">
        <f t="shared" si="3"/>
        <v>2240.909090909091</v>
      </c>
      <c r="S42" s="28">
        <f>$R$37*42</f>
        <v>540.90909090909088</v>
      </c>
      <c r="T42" s="14">
        <v>18</v>
      </c>
    </row>
    <row r="43" spans="2:20" x14ac:dyDescent="0.35">
      <c r="B43" s="8">
        <v>5</v>
      </c>
      <c r="C43" s="12">
        <f>C42+D43</f>
        <v>340</v>
      </c>
      <c r="D43" s="14">
        <f>$C$37*40</f>
        <v>113.33333333333334</v>
      </c>
      <c r="E43" s="14">
        <v>20</v>
      </c>
      <c r="F43" s="12">
        <f>F42+G43</f>
        <v>340</v>
      </c>
      <c r="G43" s="14">
        <f>$F$37*40</f>
        <v>113.33333333333334</v>
      </c>
      <c r="H43" s="14">
        <v>20</v>
      </c>
      <c r="I43" s="12">
        <f>I42+J43</f>
        <v>396.66666666666674</v>
      </c>
      <c r="J43" s="14">
        <f>$I$37*20</f>
        <v>56.666666666666671</v>
      </c>
      <c r="K43" s="14">
        <v>40</v>
      </c>
      <c r="L43" s="13">
        <f t="shared" si="1"/>
        <v>552.5</v>
      </c>
      <c r="M43" s="14">
        <f>$L$37*2</f>
        <v>6.5</v>
      </c>
      <c r="N43" s="14">
        <v>58</v>
      </c>
      <c r="O43" s="12">
        <f t="shared" si="2"/>
        <v>1280</v>
      </c>
      <c r="P43" s="10">
        <f>$O$37*4</f>
        <v>32</v>
      </c>
      <c r="Q43" s="10">
        <v>56</v>
      </c>
      <c r="R43" s="12">
        <f t="shared" si="3"/>
        <v>2627.2727272727275</v>
      </c>
      <c r="S43" s="28">
        <f>$R$37*30</f>
        <v>386.36363636363637</v>
      </c>
      <c r="T43" s="14">
        <v>30</v>
      </c>
    </row>
    <row r="44" spans="2:20" x14ac:dyDescent="0.35">
      <c r="B44" s="20">
        <v>6</v>
      </c>
      <c r="C44" s="21" t="s">
        <v>6</v>
      </c>
      <c r="D44" s="22"/>
      <c r="E44" s="22">
        <v>60</v>
      </c>
      <c r="F44" s="21" t="s">
        <v>6</v>
      </c>
      <c r="G44" s="22"/>
      <c r="H44" s="22">
        <v>60</v>
      </c>
      <c r="I44" s="23">
        <f>I43+J44</f>
        <v>510.00000000000011</v>
      </c>
      <c r="J44" s="30">
        <f>$I$37*40</f>
        <v>113.33333333333334</v>
      </c>
      <c r="K44" s="30">
        <v>20</v>
      </c>
      <c r="L44" s="33">
        <f t="shared" si="1"/>
        <v>702</v>
      </c>
      <c r="M44" s="30">
        <f>$L$37*46</f>
        <v>149.5</v>
      </c>
      <c r="N44" s="30">
        <v>14</v>
      </c>
      <c r="O44" s="23">
        <f t="shared" si="2"/>
        <v>1536</v>
      </c>
      <c r="P44" s="22">
        <f>$O$37*32</f>
        <v>256</v>
      </c>
      <c r="Q44" s="22">
        <v>28</v>
      </c>
      <c r="R44" s="23">
        <f t="shared" si="3"/>
        <v>3400</v>
      </c>
      <c r="S44" s="29">
        <f>$R$37*60</f>
        <v>772.72727272727275</v>
      </c>
      <c r="T44" s="30"/>
    </row>
    <row r="45" spans="2:20" x14ac:dyDescent="0.35">
      <c r="B45" s="8">
        <v>7</v>
      </c>
      <c r="C45" s="9" t="s">
        <v>6</v>
      </c>
      <c r="D45" s="11"/>
      <c r="E45" s="11">
        <v>60</v>
      </c>
      <c r="F45" s="9" t="s">
        <v>6</v>
      </c>
      <c r="G45" s="11"/>
      <c r="H45" s="11">
        <v>60</v>
      </c>
      <c r="I45" s="13" t="s">
        <v>6</v>
      </c>
      <c r="J45" s="31" t="s">
        <v>6</v>
      </c>
      <c r="K45" s="31">
        <v>60</v>
      </c>
      <c r="L45" s="13">
        <f t="shared" si="1"/>
        <v>828.75</v>
      </c>
      <c r="M45" s="14">
        <f>$L$37*39</f>
        <v>126.75</v>
      </c>
      <c r="N45" s="14">
        <v>21</v>
      </c>
      <c r="O45" s="12">
        <f t="shared" si="2"/>
        <v>1920</v>
      </c>
      <c r="P45" s="10">
        <f>$O$37*48</f>
        <v>384</v>
      </c>
      <c r="Q45" s="10">
        <v>12</v>
      </c>
      <c r="R45" s="12">
        <f t="shared" si="3"/>
        <v>3786.3636363636365</v>
      </c>
      <c r="S45" s="28">
        <f>$R$37*30</f>
        <v>386.36363636363637</v>
      </c>
      <c r="T45" s="14">
        <v>30</v>
      </c>
    </row>
    <row r="46" spans="2:20" x14ac:dyDescent="0.35">
      <c r="B46" s="8">
        <v>8</v>
      </c>
      <c r="C46" s="13">
        <f>C43+D46</f>
        <v>453.33333333333337</v>
      </c>
      <c r="D46" s="14">
        <f>$C$37*40</f>
        <v>113.33333333333334</v>
      </c>
      <c r="E46" s="10">
        <v>20</v>
      </c>
      <c r="F46" s="13">
        <f>F43+G46</f>
        <v>453.33333333333337</v>
      </c>
      <c r="G46" s="14">
        <f>$F$37*40</f>
        <v>113.33333333333334</v>
      </c>
      <c r="H46" s="10">
        <v>20</v>
      </c>
      <c r="I46" s="12">
        <f>I44+J46</f>
        <v>680.00000000000011</v>
      </c>
      <c r="J46" s="10">
        <f>$I$37*60</f>
        <v>170</v>
      </c>
      <c r="K46" s="10"/>
      <c r="L46" s="13">
        <f t="shared" si="1"/>
        <v>858</v>
      </c>
      <c r="M46" s="14">
        <f>$L$37*9</f>
        <v>29.25</v>
      </c>
      <c r="N46" s="14">
        <v>51</v>
      </c>
      <c r="O46" s="12">
        <f t="shared" si="2"/>
        <v>1920</v>
      </c>
      <c r="P46" s="10">
        <v>0</v>
      </c>
      <c r="Q46" s="10">
        <v>60</v>
      </c>
      <c r="R46" s="12">
        <f t="shared" si="3"/>
        <v>4327.272727272727</v>
      </c>
      <c r="S46" s="28">
        <f>$R$37*42</f>
        <v>540.90909090909088</v>
      </c>
      <c r="T46" s="14">
        <v>18</v>
      </c>
    </row>
    <row r="47" spans="2:20" x14ac:dyDescent="0.35">
      <c r="B47" s="8">
        <v>9</v>
      </c>
      <c r="C47" s="13">
        <f>C46+D47</f>
        <v>510.00000000000006</v>
      </c>
      <c r="D47" s="14">
        <f>$C$37*20</f>
        <v>56.666666666666671</v>
      </c>
      <c r="E47" s="11">
        <v>40</v>
      </c>
      <c r="F47" s="13">
        <f>F46+G47</f>
        <v>510.00000000000006</v>
      </c>
      <c r="G47" s="14">
        <f>$F$37*20</f>
        <v>56.666666666666671</v>
      </c>
      <c r="H47" s="11">
        <v>40</v>
      </c>
      <c r="I47" s="13" t="s">
        <v>6</v>
      </c>
      <c r="J47" s="31" t="s">
        <v>6</v>
      </c>
      <c r="K47" s="31">
        <v>60</v>
      </c>
      <c r="L47" s="13">
        <f t="shared" si="1"/>
        <v>1053</v>
      </c>
      <c r="M47" s="14">
        <f>$L$37*60</f>
        <v>195</v>
      </c>
      <c r="N47" s="14"/>
      <c r="O47" s="12">
        <f t="shared" si="2"/>
        <v>2304</v>
      </c>
      <c r="P47" s="10">
        <f>$O$37*48</f>
        <v>384</v>
      </c>
      <c r="Q47" s="10">
        <v>12</v>
      </c>
      <c r="R47" s="12">
        <f t="shared" si="3"/>
        <v>4868.181818181818</v>
      </c>
      <c r="S47" s="28">
        <f>$R$37*42</f>
        <v>540.90909090909088</v>
      </c>
      <c r="T47" s="14">
        <v>18</v>
      </c>
    </row>
    <row r="48" spans="2:20" x14ac:dyDescent="0.35">
      <c r="B48" s="8">
        <v>10</v>
      </c>
      <c r="C48" s="9" t="s">
        <v>6</v>
      </c>
      <c r="D48" s="11"/>
      <c r="E48" s="11">
        <v>60</v>
      </c>
      <c r="F48" s="9" t="s">
        <v>6</v>
      </c>
      <c r="G48" s="11"/>
      <c r="H48" s="11">
        <v>60</v>
      </c>
      <c r="I48" s="12">
        <f>I46+J48</f>
        <v>793.33333333333348</v>
      </c>
      <c r="J48" s="14">
        <f>$I$37*40</f>
        <v>113.33333333333334</v>
      </c>
      <c r="K48" s="14">
        <v>20</v>
      </c>
      <c r="L48" s="13">
        <f t="shared" si="1"/>
        <v>1105</v>
      </c>
      <c r="M48" s="14">
        <f>$L$37*16</f>
        <v>52</v>
      </c>
      <c r="N48" s="14">
        <v>44</v>
      </c>
      <c r="O48" s="12">
        <f t="shared" si="2"/>
        <v>2480</v>
      </c>
      <c r="P48" s="14">
        <f>$O$37*22</f>
        <v>176</v>
      </c>
      <c r="Q48" s="14">
        <v>38</v>
      </c>
      <c r="R48" s="12">
        <f t="shared" si="3"/>
        <v>5254.545454545454</v>
      </c>
      <c r="S48" s="28">
        <f>$R$37*30</f>
        <v>386.36363636363637</v>
      </c>
      <c r="T48" s="14">
        <v>30</v>
      </c>
    </row>
    <row r="49" spans="2:20" x14ac:dyDescent="0.35">
      <c r="B49" s="8">
        <v>11</v>
      </c>
      <c r="C49" s="9" t="s">
        <v>6</v>
      </c>
      <c r="D49" s="14"/>
      <c r="E49" s="14">
        <v>60</v>
      </c>
      <c r="F49" s="9" t="s">
        <v>6</v>
      </c>
      <c r="G49" s="14"/>
      <c r="H49" s="14">
        <v>60</v>
      </c>
      <c r="I49" s="12">
        <f>I48+J49</f>
        <v>850.00000000000011</v>
      </c>
      <c r="J49" s="14">
        <f>$I$37*20</f>
        <v>56.666666666666671</v>
      </c>
      <c r="K49" s="14">
        <v>40</v>
      </c>
      <c r="L49" s="13">
        <f t="shared" si="1"/>
        <v>1209</v>
      </c>
      <c r="M49" s="14">
        <f>$L$37*32</f>
        <v>104</v>
      </c>
      <c r="N49" s="14">
        <v>28</v>
      </c>
      <c r="O49" s="12">
        <f t="shared" si="2"/>
        <v>2592</v>
      </c>
      <c r="P49" s="10">
        <f>$O$37*14</f>
        <v>112</v>
      </c>
      <c r="Q49" s="10">
        <v>46</v>
      </c>
      <c r="R49" s="12">
        <f t="shared" si="3"/>
        <v>6027.272727272727</v>
      </c>
      <c r="S49" s="28">
        <f>$R$37*60</f>
        <v>772.72727272727275</v>
      </c>
      <c r="T49" s="14"/>
    </row>
    <row r="50" spans="2:20" x14ac:dyDescent="0.35">
      <c r="B50" s="20">
        <v>12</v>
      </c>
      <c r="C50" s="23">
        <f>C47+D50</f>
        <v>680</v>
      </c>
      <c r="D50" s="22">
        <f>$C$37*60</f>
        <v>170</v>
      </c>
      <c r="E50" s="22"/>
      <c r="F50" s="23">
        <f>F47+G50</f>
        <v>680</v>
      </c>
      <c r="G50" s="22">
        <f>$F$37*60</f>
        <v>170</v>
      </c>
      <c r="H50" s="22"/>
      <c r="I50" s="23">
        <f>I49+J50</f>
        <v>906.66666666666674</v>
      </c>
      <c r="J50" s="30">
        <f>$I$37*20</f>
        <v>56.666666666666671</v>
      </c>
      <c r="K50" s="30">
        <v>40</v>
      </c>
      <c r="L50" s="33">
        <f t="shared" si="1"/>
        <v>1381.25</v>
      </c>
      <c r="M50" s="30">
        <f>$L$37*53</f>
        <v>172.25</v>
      </c>
      <c r="N50" s="30">
        <v>7</v>
      </c>
      <c r="O50" s="23">
        <f t="shared" si="2"/>
        <v>3072</v>
      </c>
      <c r="P50" s="22">
        <f>$O$37*60</f>
        <v>480</v>
      </c>
      <c r="Q50" s="22"/>
      <c r="R50" s="23">
        <f t="shared" si="3"/>
        <v>6413.6363636363631</v>
      </c>
      <c r="S50" s="29">
        <f>$R$37*30</f>
        <v>386.36363636363637</v>
      </c>
      <c r="T50" s="30">
        <v>30</v>
      </c>
    </row>
    <row r="51" spans="2:20" x14ac:dyDescent="0.35">
      <c r="B51" s="8">
        <v>13</v>
      </c>
      <c r="C51" s="9" t="s">
        <v>6</v>
      </c>
      <c r="D51" s="11"/>
      <c r="E51" s="11">
        <v>60</v>
      </c>
      <c r="F51" s="9" t="s">
        <v>6</v>
      </c>
      <c r="G51" s="11"/>
      <c r="H51" s="11">
        <v>60</v>
      </c>
      <c r="I51" s="12">
        <f>I50+J51</f>
        <v>1020.0000000000001</v>
      </c>
      <c r="J51" s="14">
        <f>$I$37*40</f>
        <v>113.33333333333334</v>
      </c>
      <c r="K51" s="14">
        <v>20</v>
      </c>
      <c r="L51" s="13">
        <f t="shared" si="1"/>
        <v>1381.25</v>
      </c>
      <c r="M51" s="14"/>
      <c r="N51" s="14">
        <v>60</v>
      </c>
      <c r="O51" s="12">
        <f t="shared" si="2"/>
        <v>3120</v>
      </c>
      <c r="P51" s="10">
        <f>$O$37*6</f>
        <v>48</v>
      </c>
      <c r="Q51" s="10">
        <v>54</v>
      </c>
      <c r="R51" s="12">
        <f t="shared" si="3"/>
        <v>6954.545454545454</v>
      </c>
      <c r="S51" s="28">
        <f>$R$37*42</f>
        <v>540.90909090909088</v>
      </c>
      <c r="T51" s="14">
        <v>18</v>
      </c>
    </row>
    <row r="52" spans="2:20" x14ac:dyDescent="0.35">
      <c r="B52" s="8">
        <v>14</v>
      </c>
      <c r="C52" s="9" t="s">
        <v>6</v>
      </c>
      <c r="D52" s="11"/>
      <c r="E52" s="11">
        <v>60</v>
      </c>
      <c r="F52" s="9" t="s">
        <v>6</v>
      </c>
      <c r="G52" s="11"/>
      <c r="H52" s="11">
        <v>60</v>
      </c>
      <c r="I52" s="13" t="s">
        <v>6</v>
      </c>
      <c r="J52" s="31" t="s">
        <v>6</v>
      </c>
      <c r="K52" s="31">
        <v>60</v>
      </c>
      <c r="L52" s="13">
        <f t="shared" si="1"/>
        <v>1560</v>
      </c>
      <c r="M52" s="14">
        <f>$L$37*55</f>
        <v>178.75</v>
      </c>
      <c r="N52" s="14">
        <v>5</v>
      </c>
      <c r="O52" s="12">
        <f t="shared" si="2"/>
        <v>3360</v>
      </c>
      <c r="P52" s="10">
        <f>$O$37*30</f>
        <v>240</v>
      </c>
      <c r="Q52" s="10">
        <v>30</v>
      </c>
      <c r="R52" s="12">
        <f t="shared" si="3"/>
        <v>7495.454545454545</v>
      </c>
      <c r="S52" s="28">
        <f>$R$37*42</f>
        <v>540.90909090909088</v>
      </c>
      <c r="T52" s="14">
        <v>18</v>
      </c>
    </row>
    <row r="53" spans="2:20" x14ac:dyDescent="0.35">
      <c r="B53" s="8">
        <v>15</v>
      </c>
      <c r="C53" s="13">
        <f>C50+D53</f>
        <v>736.66666666666663</v>
      </c>
      <c r="D53" s="14">
        <f>$C$37*20</f>
        <v>56.666666666666671</v>
      </c>
      <c r="E53" s="14">
        <v>40</v>
      </c>
      <c r="F53" s="13">
        <f>F50+G53</f>
        <v>736.66666666666663</v>
      </c>
      <c r="G53" s="14">
        <f>$F$37*20</f>
        <v>56.666666666666671</v>
      </c>
      <c r="H53" s="14">
        <v>40</v>
      </c>
      <c r="I53" s="12">
        <f>I51+J53</f>
        <v>1190</v>
      </c>
      <c r="J53" s="10">
        <f>$I$37*60</f>
        <v>170</v>
      </c>
      <c r="K53" s="10"/>
      <c r="L53" s="13">
        <f t="shared" si="1"/>
        <v>1657.5</v>
      </c>
      <c r="M53" s="14">
        <f>$L$37*30</f>
        <v>97.5</v>
      </c>
      <c r="N53" s="14">
        <v>30</v>
      </c>
      <c r="O53" s="12">
        <f t="shared" si="2"/>
        <v>3760</v>
      </c>
      <c r="P53" s="10">
        <f>$O$37*50</f>
        <v>400</v>
      </c>
      <c r="Q53" s="10">
        <v>10</v>
      </c>
      <c r="R53" s="12">
        <f t="shared" si="3"/>
        <v>7881.8181818181811</v>
      </c>
      <c r="S53" s="28">
        <f>$R$37*30</f>
        <v>386.36363636363637</v>
      </c>
      <c r="T53" s="14">
        <v>30</v>
      </c>
    </row>
    <row r="54" spans="2:20" x14ac:dyDescent="0.35">
      <c r="B54" s="8">
        <v>16</v>
      </c>
      <c r="C54" s="12">
        <f>C53+D54</f>
        <v>850</v>
      </c>
      <c r="D54" s="14">
        <f>$C$37*40</f>
        <v>113.33333333333334</v>
      </c>
      <c r="E54" s="14">
        <v>20</v>
      </c>
      <c r="F54" s="12">
        <f>F53+G54</f>
        <v>850</v>
      </c>
      <c r="G54" s="14">
        <f>$F$37*40</f>
        <v>113.33333333333334</v>
      </c>
      <c r="H54" s="14">
        <v>20</v>
      </c>
      <c r="I54" s="13" t="s">
        <v>6</v>
      </c>
      <c r="J54" s="31" t="s">
        <v>6</v>
      </c>
      <c r="K54" s="31">
        <v>60</v>
      </c>
      <c r="L54" s="13">
        <f t="shared" si="1"/>
        <v>1716</v>
      </c>
      <c r="M54" s="14">
        <f>$L$37*18</f>
        <v>58.5</v>
      </c>
      <c r="N54" s="14">
        <v>42</v>
      </c>
      <c r="O54" s="12">
        <f t="shared" si="2"/>
        <v>3760</v>
      </c>
      <c r="P54" s="10">
        <v>0</v>
      </c>
      <c r="Q54" s="10">
        <v>60</v>
      </c>
      <c r="R54" s="12">
        <f t="shared" si="3"/>
        <v>8654.545454545454</v>
      </c>
      <c r="S54" s="28">
        <f>$R$37*60</f>
        <v>772.72727272727275</v>
      </c>
      <c r="T54" s="14"/>
    </row>
    <row r="55" spans="2:20" x14ac:dyDescent="0.35">
      <c r="B55" s="8">
        <v>17</v>
      </c>
      <c r="C55" s="9" t="s">
        <v>6</v>
      </c>
      <c r="D55" s="10"/>
      <c r="E55" s="10">
        <v>60</v>
      </c>
      <c r="F55" s="9" t="s">
        <v>6</v>
      </c>
      <c r="G55" s="10"/>
      <c r="H55" s="10">
        <v>60</v>
      </c>
      <c r="I55" s="12">
        <f>I53+J55</f>
        <v>1303.3333333333333</v>
      </c>
      <c r="J55" s="14">
        <f>$I$37*40</f>
        <v>113.33333333333334</v>
      </c>
      <c r="K55" s="14">
        <v>20</v>
      </c>
      <c r="L55" s="13">
        <f t="shared" si="1"/>
        <v>1911</v>
      </c>
      <c r="M55" s="14">
        <f>$L$37*60</f>
        <v>195</v>
      </c>
      <c r="N55" s="14"/>
      <c r="O55" s="12">
        <f t="shared" si="2"/>
        <v>4128</v>
      </c>
      <c r="P55" s="10">
        <f>$O$37*46</f>
        <v>368</v>
      </c>
      <c r="Q55" s="10">
        <v>14</v>
      </c>
      <c r="R55" s="12">
        <f t="shared" si="3"/>
        <v>9040.9090909090901</v>
      </c>
      <c r="S55" s="28">
        <f>$R$37*30</f>
        <v>386.36363636363637</v>
      </c>
      <c r="T55" s="14">
        <v>30</v>
      </c>
    </row>
    <row r="56" spans="2:20" x14ac:dyDescent="0.35">
      <c r="B56" s="20">
        <v>18</v>
      </c>
      <c r="C56" s="21" t="s">
        <v>6</v>
      </c>
      <c r="D56" s="24"/>
      <c r="E56" s="24">
        <v>60</v>
      </c>
      <c r="F56" s="21" t="s">
        <v>6</v>
      </c>
      <c r="G56" s="24"/>
      <c r="H56" s="24">
        <v>60</v>
      </c>
      <c r="I56" s="23">
        <f>I55+J56</f>
        <v>1360</v>
      </c>
      <c r="J56" s="30">
        <f>$I$37*20</f>
        <v>56.666666666666671</v>
      </c>
      <c r="K56" s="30">
        <v>40</v>
      </c>
      <c r="L56" s="33">
        <f t="shared" si="1"/>
        <v>1933.75</v>
      </c>
      <c r="M56" s="30">
        <f>$L$37*7</f>
        <v>22.75</v>
      </c>
      <c r="N56" s="30">
        <v>53</v>
      </c>
      <c r="O56" s="23">
        <f t="shared" si="2"/>
        <v>4400</v>
      </c>
      <c r="P56" s="22">
        <f>$O$37*34</f>
        <v>272</v>
      </c>
      <c r="Q56" s="22">
        <v>26</v>
      </c>
      <c r="R56" s="23">
        <f t="shared" si="3"/>
        <v>9581.8181818181802</v>
      </c>
      <c r="S56" s="29">
        <f>$R$37*42</f>
        <v>540.90909090909088</v>
      </c>
      <c r="T56" s="30">
        <v>18</v>
      </c>
    </row>
    <row r="57" spans="2:20" x14ac:dyDescent="0.35">
      <c r="B57" s="8">
        <v>19</v>
      </c>
      <c r="C57" s="13">
        <f>C54+D57</f>
        <v>963.33333333333337</v>
      </c>
      <c r="D57" s="14">
        <f>$C$37*40</f>
        <v>113.33333333333334</v>
      </c>
      <c r="E57" s="10">
        <v>20</v>
      </c>
      <c r="F57" s="13">
        <f>F54+G57</f>
        <v>963.33333333333337</v>
      </c>
      <c r="G57" s="14">
        <f>$F$37*40</f>
        <v>113.33333333333334</v>
      </c>
      <c r="H57" s="10">
        <v>20</v>
      </c>
      <c r="I57" s="12">
        <f>I56+J57</f>
        <v>1416.6666666666667</v>
      </c>
      <c r="J57" s="14">
        <f>$I$37*20</f>
        <v>56.666666666666671</v>
      </c>
      <c r="K57" s="14">
        <v>40</v>
      </c>
      <c r="L57" s="13">
        <f t="shared" si="1"/>
        <v>2067</v>
      </c>
      <c r="M57" s="14">
        <f>$L$37*41</f>
        <v>133.25</v>
      </c>
      <c r="N57" s="14">
        <v>19</v>
      </c>
      <c r="O57" s="12">
        <f t="shared" si="2"/>
        <v>4416</v>
      </c>
      <c r="P57" s="10">
        <f>$O$37*2</f>
        <v>16</v>
      </c>
      <c r="Q57" s="10">
        <v>58</v>
      </c>
      <c r="R57" s="12">
        <f t="shared" si="3"/>
        <v>10122.72727272727</v>
      </c>
      <c r="S57" s="28">
        <f>$R$37*42</f>
        <v>540.90909090909088</v>
      </c>
      <c r="T57" s="14">
        <v>18</v>
      </c>
    </row>
    <row r="58" spans="2:20" x14ac:dyDescent="0.35">
      <c r="B58" s="8">
        <v>20</v>
      </c>
      <c r="C58" s="13">
        <f>C57+D58</f>
        <v>1020</v>
      </c>
      <c r="D58" s="14">
        <f>$C$37*20</f>
        <v>56.666666666666671</v>
      </c>
      <c r="E58" s="11">
        <v>40</v>
      </c>
      <c r="F58" s="13">
        <f>F57+G58</f>
        <v>1020</v>
      </c>
      <c r="G58" s="14">
        <f>$F$37*20</f>
        <v>56.666666666666671</v>
      </c>
      <c r="H58" s="11">
        <v>40</v>
      </c>
      <c r="I58" s="12">
        <f>I57+J58</f>
        <v>1530</v>
      </c>
      <c r="J58" s="14">
        <f>$I$37*40</f>
        <v>113.33333333333334</v>
      </c>
      <c r="K58" s="14">
        <v>20</v>
      </c>
      <c r="L58" s="13">
        <f t="shared" si="1"/>
        <v>2210</v>
      </c>
      <c r="M58" s="14">
        <f>$L$37*44</f>
        <v>143</v>
      </c>
      <c r="N58" s="14">
        <v>16</v>
      </c>
      <c r="O58" s="12">
        <f t="shared" si="2"/>
        <v>4896</v>
      </c>
      <c r="P58" s="10">
        <f>$O$37*60</f>
        <v>480</v>
      </c>
      <c r="Q58" s="10"/>
      <c r="R58" s="12">
        <f t="shared" si="3"/>
        <v>10509.090909090906</v>
      </c>
      <c r="S58" s="28">
        <f>$R$37*30</f>
        <v>386.36363636363637</v>
      </c>
      <c r="T58" s="14">
        <v>30</v>
      </c>
    </row>
    <row r="59" spans="2:20" x14ac:dyDescent="0.35">
      <c r="B59" s="8">
        <v>21</v>
      </c>
      <c r="C59" s="9" t="s">
        <v>6</v>
      </c>
      <c r="D59" s="11"/>
      <c r="E59" s="11">
        <v>60</v>
      </c>
      <c r="F59" s="9" t="s">
        <v>6</v>
      </c>
      <c r="G59" s="11"/>
      <c r="H59" s="11">
        <v>60</v>
      </c>
      <c r="I59" s="13" t="s">
        <v>6</v>
      </c>
      <c r="J59" s="31" t="s">
        <v>6</v>
      </c>
      <c r="K59" s="31">
        <v>60</v>
      </c>
      <c r="L59" s="13">
        <f t="shared" si="1"/>
        <v>2223</v>
      </c>
      <c r="M59" s="14">
        <f>$L$37*4</f>
        <v>13</v>
      </c>
      <c r="N59" s="14">
        <v>56</v>
      </c>
      <c r="O59" s="12">
        <f t="shared" si="2"/>
        <v>5040</v>
      </c>
      <c r="P59" s="10">
        <f>$O$37*18</f>
        <v>144</v>
      </c>
      <c r="Q59" s="10">
        <v>42</v>
      </c>
      <c r="R59" s="12">
        <f t="shared" si="3"/>
        <v>11281.818181818178</v>
      </c>
      <c r="S59" s="28">
        <f>$R$37*60</f>
        <v>772.72727272727275</v>
      </c>
      <c r="T59" s="14"/>
    </row>
    <row r="60" spans="2:20" x14ac:dyDescent="0.35">
      <c r="B60" s="8">
        <v>22</v>
      </c>
      <c r="C60" s="9" t="s">
        <v>6</v>
      </c>
      <c r="D60" s="14"/>
      <c r="E60" s="14">
        <v>60</v>
      </c>
      <c r="F60" s="9" t="s">
        <v>6</v>
      </c>
      <c r="G60" s="14"/>
      <c r="H60" s="14">
        <v>60</v>
      </c>
      <c r="I60" s="12">
        <f>I58+J60</f>
        <v>1700</v>
      </c>
      <c r="J60" s="10">
        <f>$I$37*60</f>
        <v>170</v>
      </c>
      <c r="K60" s="10"/>
      <c r="L60" s="13">
        <f t="shared" si="1"/>
        <v>2418</v>
      </c>
      <c r="M60" s="14">
        <f>$L$37*60</f>
        <v>195</v>
      </c>
      <c r="N60" s="14"/>
      <c r="O60" s="12">
        <f t="shared" si="2"/>
        <v>5184</v>
      </c>
      <c r="P60" s="10">
        <f>$O$37*18</f>
        <v>144</v>
      </c>
      <c r="Q60" s="10">
        <v>42</v>
      </c>
      <c r="R60" s="12">
        <f t="shared" si="3"/>
        <v>11668.181818181814</v>
      </c>
      <c r="S60" s="28">
        <f>$R$37*30</f>
        <v>386.36363636363637</v>
      </c>
      <c r="T60" s="14">
        <v>30</v>
      </c>
    </row>
    <row r="61" spans="2:20" x14ac:dyDescent="0.35">
      <c r="B61" s="8">
        <v>23</v>
      </c>
      <c r="C61" s="12">
        <f>C58+D61</f>
        <v>1190</v>
      </c>
      <c r="D61" s="10">
        <f>$C$37*60</f>
        <v>170</v>
      </c>
      <c r="E61" s="11"/>
      <c r="F61" s="12">
        <f>F58+G61</f>
        <v>1190</v>
      </c>
      <c r="G61" s="10">
        <f>$F$37*60</f>
        <v>170</v>
      </c>
      <c r="H61" s="31"/>
      <c r="I61" s="13" t="s">
        <v>6</v>
      </c>
      <c r="J61" s="31" t="s">
        <v>6</v>
      </c>
      <c r="K61" s="31">
        <v>60</v>
      </c>
      <c r="L61" s="13">
        <f t="shared" si="1"/>
        <v>2544.75</v>
      </c>
      <c r="M61" s="14">
        <f>$L$37*39</f>
        <v>126.75</v>
      </c>
      <c r="N61" s="14">
        <v>21</v>
      </c>
      <c r="O61" s="12">
        <f t="shared" si="2"/>
        <v>5664</v>
      </c>
      <c r="P61" s="10">
        <f>$O$37*60</f>
        <v>480</v>
      </c>
      <c r="Q61" s="10"/>
      <c r="R61" s="12">
        <f t="shared" si="3"/>
        <v>12209.090909090904</v>
      </c>
      <c r="S61" s="28">
        <f>$R$37*42</f>
        <v>540.90909090909088</v>
      </c>
      <c r="T61" s="14">
        <v>18</v>
      </c>
    </row>
    <row r="62" spans="2:20" x14ac:dyDescent="0.35">
      <c r="B62" s="20">
        <v>24</v>
      </c>
      <c r="C62" s="21" t="s">
        <v>6</v>
      </c>
      <c r="D62" s="22"/>
      <c r="E62" s="22"/>
      <c r="F62" s="21" t="s">
        <v>6</v>
      </c>
      <c r="G62" s="30"/>
      <c r="H62" s="30"/>
      <c r="I62" s="23">
        <f>I60+J62</f>
        <v>1813.3333333333333</v>
      </c>
      <c r="J62" s="30">
        <f>$I$37*40</f>
        <v>113.33333333333334</v>
      </c>
      <c r="K62" s="30">
        <v>20</v>
      </c>
      <c r="L62" s="33">
        <f t="shared" si="1"/>
        <v>2574</v>
      </c>
      <c r="M62" s="30">
        <f>$L$37*9</f>
        <v>29.25</v>
      </c>
      <c r="N62" s="30">
        <v>51</v>
      </c>
      <c r="O62" s="23">
        <f t="shared" si="2"/>
        <v>5680</v>
      </c>
      <c r="P62" s="22">
        <f>$O$37*2</f>
        <v>16</v>
      </c>
      <c r="Q62" s="22">
        <v>58</v>
      </c>
      <c r="R62" s="23">
        <f t="shared" si="3"/>
        <v>12749.999999999995</v>
      </c>
      <c r="S62" s="29">
        <f>$R$37*42</f>
        <v>540.90909090909088</v>
      </c>
      <c r="T62" s="30">
        <v>18</v>
      </c>
    </row>
    <row r="64" spans="2:20" x14ac:dyDescent="0.35">
      <c r="B64" s="15" t="s">
        <v>67</v>
      </c>
      <c r="C64" s="16">
        <v>3000</v>
      </c>
      <c r="D64" s="16">
        <v>5000</v>
      </c>
      <c r="E64" s="16"/>
      <c r="F64" s="16">
        <v>3000</v>
      </c>
      <c r="G64" s="16"/>
      <c r="H64" s="16"/>
      <c r="I64" s="16">
        <v>5000</v>
      </c>
      <c r="J64" s="16">
        <v>12000</v>
      </c>
      <c r="K64" s="16"/>
      <c r="L64" s="16">
        <v>7000</v>
      </c>
      <c r="M64" s="16"/>
      <c r="N64" s="16"/>
      <c r="O64" s="16">
        <v>18000</v>
      </c>
      <c r="P64" s="16"/>
      <c r="Q64" s="16"/>
      <c r="R64" s="16">
        <v>36000</v>
      </c>
    </row>
    <row r="65" spans="2:18" x14ac:dyDescent="0.35">
      <c r="B65" s="15" t="s">
        <v>68</v>
      </c>
      <c r="C65" s="16">
        <v>2000</v>
      </c>
      <c r="D65" s="16">
        <v>3000</v>
      </c>
      <c r="E65" s="16"/>
      <c r="F65" s="16">
        <v>2000</v>
      </c>
      <c r="G65" s="16"/>
      <c r="H65" s="16"/>
      <c r="I65" s="16">
        <v>3000</v>
      </c>
      <c r="J65" s="16">
        <v>18000</v>
      </c>
      <c r="K65" s="16"/>
      <c r="L65" s="16">
        <v>5000</v>
      </c>
      <c r="M65" s="16"/>
      <c r="N65" s="16"/>
      <c r="O65" s="16">
        <v>12000</v>
      </c>
      <c r="P65" s="16"/>
      <c r="Q65" s="16"/>
      <c r="R65" s="16">
        <v>24000</v>
      </c>
    </row>
    <row r="66" spans="2:18" x14ac:dyDescent="0.35">
      <c r="B66" s="15" t="s">
        <v>69</v>
      </c>
      <c r="C66" s="16" t="s">
        <v>7</v>
      </c>
      <c r="D66" s="16">
        <v>3000</v>
      </c>
      <c r="E66" s="16"/>
      <c r="F66" s="16" t="s">
        <v>7</v>
      </c>
      <c r="G66" s="16"/>
      <c r="H66" s="16"/>
      <c r="I66" s="16" t="s">
        <v>7</v>
      </c>
      <c r="J66" s="16">
        <v>18000</v>
      </c>
      <c r="K66" s="16"/>
      <c r="L66" s="16" t="s">
        <v>7</v>
      </c>
      <c r="M66" s="16"/>
      <c r="N66" s="16"/>
      <c r="O66" s="16">
        <v>6000</v>
      </c>
      <c r="P66" s="16"/>
      <c r="Q66" s="16"/>
      <c r="R66" s="16">
        <v>12000</v>
      </c>
    </row>
    <row r="68" spans="2:18" x14ac:dyDescent="0.35">
      <c r="B68" s="34" t="s">
        <v>73</v>
      </c>
    </row>
    <row r="69" spans="2:18" x14ac:dyDescent="0.35">
      <c r="B69" s="34" t="s">
        <v>74</v>
      </c>
    </row>
    <row r="70" spans="2:18" x14ac:dyDescent="0.35">
      <c r="B70" s="34" t="s">
        <v>115</v>
      </c>
    </row>
    <row r="71" spans="2:18" x14ac:dyDescent="0.35">
      <c r="B71" s="34"/>
    </row>
    <row r="72" spans="2:18" x14ac:dyDescent="0.35">
      <c r="B72" s="51" t="s">
        <v>75</v>
      </c>
    </row>
    <row r="74" spans="2:18" x14ac:dyDescent="0.35">
      <c r="B74" s="49"/>
      <c r="C74" s="49" t="s">
        <v>2</v>
      </c>
      <c r="D74" s="7"/>
      <c r="E74" s="7"/>
      <c r="F74" s="49" t="s">
        <v>8</v>
      </c>
      <c r="G74" s="7"/>
      <c r="H74" s="7"/>
      <c r="I74" s="49" t="s">
        <v>3</v>
      </c>
      <c r="J74" s="7"/>
      <c r="K74" s="7"/>
      <c r="L74" s="49" t="s">
        <v>4</v>
      </c>
      <c r="O74" s="49" t="s">
        <v>1</v>
      </c>
      <c r="P74" s="7"/>
      <c r="Q74" s="7"/>
      <c r="R74" s="49" t="s">
        <v>0</v>
      </c>
    </row>
    <row r="75" spans="2:18" x14ac:dyDescent="0.35">
      <c r="B75" s="49" t="s">
        <v>76</v>
      </c>
      <c r="C75" s="49" t="s">
        <v>12</v>
      </c>
      <c r="D75" s="7"/>
      <c r="E75" s="7"/>
      <c r="F75" s="49" t="s">
        <v>12</v>
      </c>
      <c r="G75" s="7"/>
      <c r="H75" s="7"/>
      <c r="I75" s="49" t="s">
        <v>15</v>
      </c>
      <c r="J75" s="7"/>
      <c r="K75" s="7"/>
      <c r="L75" s="49" t="s">
        <v>13</v>
      </c>
      <c r="O75" s="49" t="s">
        <v>31</v>
      </c>
      <c r="P75" s="7"/>
      <c r="Q75" s="7"/>
      <c r="R75" s="49" t="s">
        <v>30</v>
      </c>
    </row>
    <row r="76" spans="2:18" x14ac:dyDescent="0.35">
      <c r="B76" s="49" t="s">
        <v>77</v>
      </c>
      <c r="C76" s="49" t="s">
        <v>56</v>
      </c>
      <c r="D76" s="7"/>
      <c r="E76" s="7"/>
      <c r="F76" s="49" t="s">
        <v>56</v>
      </c>
      <c r="G76" s="7"/>
      <c r="H76" s="7"/>
      <c r="I76" s="49" t="s">
        <v>16</v>
      </c>
      <c r="J76" s="7"/>
      <c r="K76" s="7"/>
      <c r="L76" s="49" t="s">
        <v>19</v>
      </c>
      <c r="O76" s="49" t="s">
        <v>32</v>
      </c>
      <c r="P76" s="7"/>
      <c r="Q76" s="7"/>
      <c r="R76" s="49" t="s">
        <v>33</v>
      </c>
    </row>
    <row r="77" spans="2:18" ht="15" customHeight="1" x14ac:dyDescent="0.35">
      <c r="B77" s="49" t="s">
        <v>78</v>
      </c>
      <c r="C77" s="49" t="s">
        <v>23</v>
      </c>
      <c r="D77" s="7"/>
      <c r="E77" s="7"/>
      <c r="F77" s="49" t="s">
        <v>23</v>
      </c>
      <c r="G77" s="7"/>
      <c r="H77" s="7"/>
      <c r="I77" s="49" t="s">
        <v>17</v>
      </c>
      <c r="J77" s="7"/>
      <c r="K77" s="7"/>
      <c r="L77" s="49" t="s">
        <v>20</v>
      </c>
      <c r="O77" s="49" t="s">
        <v>53</v>
      </c>
      <c r="P77" s="7"/>
      <c r="Q77" s="7"/>
      <c r="R77" s="49" t="s">
        <v>34</v>
      </c>
    </row>
    <row r="78" spans="2:18" ht="15" customHeight="1" x14ac:dyDescent="0.35">
      <c r="B78" s="49" t="s">
        <v>79</v>
      </c>
      <c r="C78" s="49" t="s">
        <v>55</v>
      </c>
      <c r="D78" s="7"/>
      <c r="E78" s="7"/>
      <c r="F78" s="49" t="s">
        <v>55</v>
      </c>
      <c r="G78" s="7"/>
      <c r="H78" s="7"/>
      <c r="I78" s="49" t="s">
        <v>18</v>
      </c>
      <c r="J78" s="7"/>
      <c r="K78" s="7"/>
      <c r="L78" s="49" t="s">
        <v>21</v>
      </c>
      <c r="O78" s="49" t="s">
        <v>35</v>
      </c>
      <c r="P78" s="7"/>
      <c r="Q78" s="7"/>
      <c r="R78" s="49" t="s">
        <v>36</v>
      </c>
    </row>
    <row r="79" spans="2:18" ht="15" customHeight="1" x14ac:dyDescent="0.35">
      <c r="B79" s="49" t="s">
        <v>80</v>
      </c>
      <c r="C79" s="49" t="s">
        <v>57</v>
      </c>
      <c r="D79" s="7"/>
      <c r="E79" s="7"/>
      <c r="F79" s="49" t="s">
        <v>57</v>
      </c>
      <c r="G79" s="7"/>
      <c r="H79" s="7"/>
      <c r="I79" s="49" t="s">
        <v>31</v>
      </c>
      <c r="J79" s="7"/>
      <c r="K79" s="7"/>
      <c r="L79" s="49" t="s">
        <v>42</v>
      </c>
      <c r="O79" s="49" t="s">
        <v>54</v>
      </c>
      <c r="P79" s="7"/>
      <c r="Q79" s="7"/>
      <c r="R79" s="49" t="s">
        <v>43</v>
      </c>
    </row>
    <row r="80" spans="2:18" x14ac:dyDescent="0.35">
      <c r="D80" s="7"/>
      <c r="E80" s="7"/>
      <c r="G80" s="7"/>
      <c r="H80" s="7"/>
      <c r="J80" s="7"/>
      <c r="K80" s="7"/>
    </row>
    <row r="81" spans="2:18" x14ac:dyDescent="0.35">
      <c r="B81" s="51" t="s">
        <v>81</v>
      </c>
      <c r="D81" s="7"/>
      <c r="E81" s="7"/>
      <c r="G81" s="7"/>
      <c r="H81" s="7"/>
      <c r="J81" s="7"/>
      <c r="K81" s="7"/>
    </row>
    <row r="83" spans="2:18" x14ac:dyDescent="0.35">
      <c r="B83" s="49"/>
      <c r="C83" s="49" t="s">
        <v>2</v>
      </c>
      <c r="D83" s="7"/>
      <c r="E83" s="7"/>
      <c r="F83" s="49" t="s">
        <v>8</v>
      </c>
      <c r="G83" s="7"/>
      <c r="H83" s="7"/>
      <c r="I83" s="49" t="s">
        <v>3</v>
      </c>
      <c r="J83" s="7"/>
      <c r="K83" s="7"/>
      <c r="L83" s="49" t="s">
        <v>4</v>
      </c>
      <c r="O83" s="49" t="s">
        <v>1</v>
      </c>
      <c r="P83" s="7"/>
      <c r="Q83" s="7"/>
      <c r="R83" s="49" t="s">
        <v>0</v>
      </c>
    </row>
    <row r="84" spans="2:18" x14ac:dyDescent="0.35">
      <c r="B84" s="49" t="s">
        <v>82</v>
      </c>
      <c r="C84" s="49" t="s">
        <v>22</v>
      </c>
      <c r="D84" s="7"/>
      <c r="E84" s="7"/>
      <c r="F84" s="49" t="s">
        <v>22</v>
      </c>
      <c r="G84" s="7"/>
      <c r="H84" s="7"/>
      <c r="I84" s="49" t="s">
        <v>24</v>
      </c>
      <c r="J84" s="7"/>
      <c r="K84" s="7"/>
      <c r="L84" s="49" t="s">
        <v>23</v>
      </c>
      <c r="O84" s="49" t="s">
        <v>52</v>
      </c>
      <c r="P84" s="7"/>
      <c r="Q84" s="7"/>
      <c r="R84" s="49" t="s">
        <v>37</v>
      </c>
    </row>
    <row r="85" spans="2:18" x14ac:dyDescent="0.35">
      <c r="B85" s="49" t="s">
        <v>77</v>
      </c>
      <c r="C85" s="49" t="s">
        <v>23</v>
      </c>
      <c r="D85" s="7"/>
      <c r="E85" s="7"/>
      <c r="F85" s="49" t="s">
        <v>23</v>
      </c>
      <c r="G85" s="7"/>
      <c r="H85" s="7"/>
      <c r="I85" s="49" t="s">
        <v>25</v>
      </c>
      <c r="J85" s="7"/>
      <c r="K85" s="7"/>
      <c r="L85" s="49" t="s">
        <v>28</v>
      </c>
      <c r="O85" s="49" t="s">
        <v>38</v>
      </c>
      <c r="P85" s="7"/>
      <c r="Q85" s="7"/>
      <c r="R85" s="49" t="s">
        <v>39</v>
      </c>
    </row>
    <row r="86" spans="2:18" ht="15" customHeight="1" x14ac:dyDescent="0.35">
      <c r="B86" s="49" t="s">
        <v>78</v>
      </c>
      <c r="C86" s="49" t="s">
        <v>14</v>
      </c>
      <c r="D86" s="7"/>
      <c r="E86" s="7"/>
      <c r="F86" s="49" t="s">
        <v>14</v>
      </c>
      <c r="G86" s="7"/>
      <c r="H86" s="7"/>
      <c r="I86" s="49" t="s">
        <v>26</v>
      </c>
      <c r="J86" s="7"/>
      <c r="K86" s="7"/>
      <c r="L86" s="49" t="s">
        <v>48</v>
      </c>
      <c r="O86" s="49" t="s">
        <v>46</v>
      </c>
      <c r="P86" s="7"/>
      <c r="Q86" s="7"/>
      <c r="R86" s="49" t="s">
        <v>40</v>
      </c>
    </row>
    <row r="87" spans="2:18" ht="15" customHeight="1" x14ac:dyDescent="0.35">
      <c r="B87" s="49" t="s">
        <v>79</v>
      </c>
      <c r="C87" s="49" t="s">
        <v>50</v>
      </c>
      <c r="D87" s="7"/>
      <c r="E87" s="7"/>
      <c r="F87" s="49" t="s">
        <v>50</v>
      </c>
      <c r="G87" s="7"/>
      <c r="H87" s="7"/>
      <c r="I87" s="49" t="s">
        <v>27</v>
      </c>
      <c r="J87" s="7"/>
      <c r="K87" s="7"/>
      <c r="L87" s="49" t="s">
        <v>29</v>
      </c>
      <c r="O87" s="49" t="s">
        <v>51</v>
      </c>
      <c r="P87" s="7"/>
      <c r="Q87" s="7"/>
      <c r="R87" s="49" t="s">
        <v>41</v>
      </c>
    </row>
    <row r="88" spans="2:18" ht="15" customHeight="1" x14ac:dyDescent="0.35">
      <c r="B88" s="49" t="s">
        <v>80</v>
      </c>
      <c r="C88" s="49" t="s">
        <v>49</v>
      </c>
      <c r="D88" s="7"/>
      <c r="E88" s="7"/>
      <c r="F88" s="49" t="s">
        <v>49</v>
      </c>
      <c r="G88" s="7"/>
      <c r="H88" s="7"/>
      <c r="I88" s="49" t="s">
        <v>21</v>
      </c>
      <c r="J88" s="7"/>
      <c r="K88" s="7"/>
      <c r="L88" s="49" t="s">
        <v>47</v>
      </c>
      <c r="O88" s="49" t="s">
        <v>44</v>
      </c>
      <c r="P88" s="7"/>
      <c r="Q88" s="7"/>
      <c r="R88" s="49" t="s">
        <v>45</v>
      </c>
    </row>
  </sheetData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1472B-AF29-409F-AA7C-38E5EE5D4481}">
  <dimension ref="B1:J35"/>
  <sheetViews>
    <sheetView zoomScale="110" zoomScaleNormal="110" workbookViewId="0"/>
  </sheetViews>
  <sheetFormatPr baseColWidth="10" defaultColWidth="8.7265625" defaultRowHeight="14.5" x14ac:dyDescent="0.35"/>
  <cols>
    <col min="1" max="1" width="5.26953125" customWidth="1"/>
    <col min="2" max="2" width="45.54296875" customWidth="1"/>
    <col min="3" max="10" width="18.7265625" customWidth="1"/>
  </cols>
  <sheetData>
    <row r="1" spans="2:10" ht="28.5" x14ac:dyDescent="0.65">
      <c r="B1" s="6" t="s">
        <v>114</v>
      </c>
    </row>
    <row r="2" spans="2:10" x14ac:dyDescent="0.35">
      <c r="B2" s="3"/>
      <c r="C2" s="2"/>
    </row>
    <row r="3" spans="2:10" x14ac:dyDescent="0.35">
      <c r="C3" s="52" t="s">
        <v>1</v>
      </c>
      <c r="D3" s="53"/>
      <c r="E3" s="53"/>
      <c r="F3" s="54"/>
      <c r="G3" s="55" t="s">
        <v>0</v>
      </c>
      <c r="H3" s="56"/>
      <c r="I3" s="56"/>
      <c r="J3" s="57"/>
    </row>
    <row r="4" spans="2:10" ht="18.649999999999999" customHeight="1" x14ac:dyDescent="0.35">
      <c r="B4" s="38" t="s">
        <v>83</v>
      </c>
      <c r="C4" s="58">
        <v>12</v>
      </c>
      <c r="D4" s="58"/>
      <c r="E4" s="58">
        <v>24</v>
      </c>
      <c r="F4" s="58"/>
      <c r="G4" s="58">
        <v>12</v>
      </c>
      <c r="H4" s="58"/>
      <c r="I4" s="58">
        <v>24</v>
      </c>
      <c r="J4" s="58"/>
    </row>
    <row r="5" spans="2:10" x14ac:dyDescent="0.35">
      <c r="B5" s="38" t="s">
        <v>84</v>
      </c>
      <c r="C5" s="59">
        <f>C6*0.9</f>
        <v>18</v>
      </c>
      <c r="D5" s="59"/>
      <c r="E5" s="59">
        <f>E6*0.9</f>
        <v>18</v>
      </c>
      <c r="F5" s="59"/>
      <c r="G5" s="60">
        <f>G6*0.9</f>
        <v>18</v>
      </c>
      <c r="H5" s="60"/>
      <c r="I5" s="60">
        <f>I6*0.9</f>
        <v>18</v>
      </c>
      <c r="J5" s="60"/>
    </row>
    <row r="6" spans="2:10" x14ac:dyDescent="0.35">
      <c r="B6" s="38" t="s">
        <v>85</v>
      </c>
      <c r="C6" s="59">
        <v>20</v>
      </c>
      <c r="D6" s="59"/>
      <c r="E6" s="59">
        <v>20</v>
      </c>
      <c r="F6" s="59"/>
      <c r="G6" s="60">
        <v>20</v>
      </c>
      <c r="H6" s="60"/>
      <c r="I6" s="60">
        <v>20</v>
      </c>
      <c r="J6" s="60"/>
    </row>
    <row r="7" spans="2:10" x14ac:dyDescent="0.35">
      <c r="B7" s="38" t="s">
        <v>86</v>
      </c>
      <c r="C7" s="58">
        <v>10</v>
      </c>
      <c r="D7" s="58"/>
      <c r="E7" s="58">
        <v>10</v>
      </c>
      <c r="F7" s="58"/>
      <c r="G7" s="58">
        <v>10</v>
      </c>
      <c r="H7" s="58"/>
      <c r="I7" s="58">
        <v>10</v>
      </c>
      <c r="J7" s="58"/>
    </row>
    <row r="8" spans="2:10" x14ac:dyDescent="0.35">
      <c r="B8" s="38" t="s">
        <v>87</v>
      </c>
      <c r="C8" s="59">
        <f>C5*C7</f>
        <v>180</v>
      </c>
      <c r="D8" s="59"/>
      <c r="E8" s="59">
        <f>E5*E7</f>
        <v>180</v>
      </c>
      <c r="F8" s="59"/>
      <c r="G8" s="60">
        <f>G5*G7</f>
        <v>180</v>
      </c>
      <c r="H8" s="60"/>
      <c r="I8" s="60">
        <f>I5*I7</f>
        <v>180</v>
      </c>
      <c r="J8" s="60"/>
    </row>
    <row r="9" spans="2:10" x14ac:dyDescent="0.35">
      <c r="B9" s="38" t="s">
        <v>88</v>
      </c>
      <c r="C9" s="61">
        <v>7</v>
      </c>
      <c r="D9" s="61"/>
      <c r="E9" s="61">
        <v>7</v>
      </c>
      <c r="F9" s="61"/>
      <c r="G9" s="61">
        <v>20</v>
      </c>
      <c r="H9" s="61"/>
      <c r="I9" s="61">
        <v>20</v>
      </c>
      <c r="J9" s="61"/>
    </row>
    <row r="10" spans="2:10" x14ac:dyDescent="0.35">
      <c r="B10" s="38" t="s">
        <v>89</v>
      </c>
      <c r="C10" s="62">
        <f>60*(0.9*(C7/C9))</f>
        <v>77.142857142857153</v>
      </c>
      <c r="D10" s="62"/>
      <c r="E10" s="62">
        <f>60*(0.9*(E7/E9))</f>
        <v>77.142857142857153</v>
      </c>
      <c r="F10" s="62"/>
      <c r="G10" s="63">
        <v>30</v>
      </c>
      <c r="H10" s="63"/>
      <c r="I10" s="63">
        <v>30</v>
      </c>
      <c r="J10" s="63"/>
    </row>
    <row r="11" spans="2:10" x14ac:dyDescent="0.35">
      <c r="B11" s="38" t="s">
        <v>92</v>
      </c>
      <c r="C11" s="64">
        <v>80</v>
      </c>
      <c r="D11" s="64"/>
      <c r="E11" s="64">
        <v>80</v>
      </c>
      <c r="F11" s="64"/>
      <c r="G11" s="64">
        <v>66</v>
      </c>
      <c r="H11" s="64"/>
      <c r="I11" s="64">
        <v>66</v>
      </c>
      <c r="J11" s="64"/>
    </row>
    <row r="12" spans="2:10" x14ac:dyDescent="0.35">
      <c r="B12" s="38" t="s">
        <v>90</v>
      </c>
      <c r="C12" s="65">
        <f>C4/((C10+C11)/60)</f>
        <v>4.5818181818181811</v>
      </c>
      <c r="D12" s="65"/>
      <c r="E12" s="65">
        <f>E4/((E10+E11)/60)</f>
        <v>9.1636363636363622</v>
      </c>
      <c r="F12" s="65"/>
      <c r="G12" s="66">
        <f>G4/((G10+G11)/60)</f>
        <v>7.5</v>
      </c>
      <c r="H12" s="66"/>
      <c r="I12" s="66">
        <f>I4/((I10+I11)/60)</f>
        <v>15</v>
      </c>
      <c r="J12" s="66"/>
    </row>
    <row r="13" spans="2:10" x14ac:dyDescent="0.35">
      <c r="B13" s="38" t="s">
        <v>93</v>
      </c>
      <c r="C13" s="62">
        <f>C11*C12</f>
        <v>366.5454545454545</v>
      </c>
      <c r="D13" s="62"/>
      <c r="E13" s="62">
        <f>E11*E12</f>
        <v>733.09090909090901</v>
      </c>
      <c r="F13" s="62"/>
      <c r="G13" s="63">
        <f>G11*G12</f>
        <v>495</v>
      </c>
      <c r="H13" s="63"/>
      <c r="I13" s="63">
        <f>I11*I12</f>
        <v>990</v>
      </c>
      <c r="J13" s="63"/>
    </row>
    <row r="14" spans="2:10" x14ac:dyDescent="0.35">
      <c r="B14" s="38" t="s">
        <v>94</v>
      </c>
      <c r="C14" s="67">
        <f>C13/60</f>
        <v>6.1090909090909085</v>
      </c>
      <c r="D14" s="68"/>
      <c r="E14" s="67">
        <f>E13/60</f>
        <v>12.218181818181817</v>
      </c>
      <c r="F14" s="68"/>
      <c r="G14" s="69">
        <f>G13/60</f>
        <v>8.25</v>
      </c>
      <c r="H14" s="70"/>
      <c r="I14" s="69">
        <f>I13/60</f>
        <v>16.5</v>
      </c>
      <c r="J14" s="70"/>
    </row>
    <row r="15" spans="2:10" ht="15.75" customHeight="1" x14ac:dyDescent="0.35">
      <c r="B15" s="38" t="s">
        <v>95</v>
      </c>
      <c r="C15" s="73">
        <f>(C12*C8)/1000</f>
        <v>0.82472727272727264</v>
      </c>
      <c r="D15" s="73"/>
      <c r="E15" s="73">
        <f>(E12*E8)/1000</f>
        <v>1.6494545454545453</v>
      </c>
      <c r="F15" s="73"/>
      <c r="G15" s="74">
        <f>(G12*G8)/1000</f>
        <v>1.35</v>
      </c>
      <c r="H15" s="74"/>
      <c r="I15" s="74">
        <f>(I12*I8)/1000</f>
        <v>2.7</v>
      </c>
      <c r="J15" s="74"/>
    </row>
    <row r="16" spans="2:10" ht="15.75" customHeight="1" x14ac:dyDescent="0.35">
      <c r="B16" s="38" t="s">
        <v>100</v>
      </c>
      <c r="C16" s="75">
        <f>($C$29/1000)*(((C12*C10)/60)*0.1)+(E29*(C4-((C12*C10)/60)))</f>
        <v>0.14208872727272728</v>
      </c>
      <c r="D16" s="76"/>
      <c r="E16" s="75">
        <f>($C$29/1000)*(((E12*E10)/60)*0.1)+(E29*(E4-((E12*E10)/60)))</f>
        <v>0.28417745454545457</v>
      </c>
      <c r="F16" s="76"/>
      <c r="G16" s="77">
        <f>($C$30/1000)*(((G12*G10)/60)*0.1)+(E30*(G4-((G12*G10)/60)))</f>
        <v>0.24890999999999999</v>
      </c>
      <c r="H16" s="78"/>
      <c r="I16" s="77">
        <f>($C$30/1000)*(((I12*I10)/60)*0.1)+(E30*(I4-((I12*I10)/60)))</f>
        <v>0.49781999999999998</v>
      </c>
      <c r="J16" s="78"/>
    </row>
    <row r="17" spans="2:10" x14ac:dyDescent="0.35">
      <c r="B17" s="38"/>
      <c r="C17" s="45" t="s">
        <v>96</v>
      </c>
      <c r="D17" s="45" t="s">
        <v>101</v>
      </c>
      <c r="E17" s="45" t="s">
        <v>96</v>
      </c>
      <c r="F17" s="45" t="s">
        <v>101</v>
      </c>
      <c r="G17" s="47" t="s">
        <v>96</v>
      </c>
      <c r="H17" s="47" t="s">
        <v>101</v>
      </c>
      <c r="I17" s="47" t="s">
        <v>102</v>
      </c>
      <c r="J17" s="47" t="s">
        <v>101</v>
      </c>
    </row>
    <row r="18" spans="2:10" ht="16" customHeight="1" x14ac:dyDescent="0.35">
      <c r="B18" s="38" t="s">
        <v>97</v>
      </c>
      <c r="C18" s="46">
        <f>C15*$C$23</f>
        <v>0.29690181818181816</v>
      </c>
      <c r="D18" s="46">
        <f>(C15+C16)*$C$23</f>
        <v>0.34805375999999993</v>
      </c>
      <c r="E18" s="46">
        <f>E15*$C$23</f>
        <v>0.59380363636363631</v>
      </c>
      <c r="F18" s="46">
        <f>(E15+E16)*$C$23</f>
        <v>0.69610751999999987</v>
      </c>
      <c r="G18" s="48">
        <f>G15*$C$23</f>
        <v>0.48599999999999999</v>
      </c>
      <c r="H18" s="48">
        <f>(G15+G16)*$C$23</f>
        <v>0.5756076</v>
      </c>
      <c r="I18" s="48">
        <f>I15*$C$23</f>
        <v>0.97199999999999998</v>
      </c>
      <c r="J18" s="48">
        <f>(I15+I16)*$C$23</f>
        <v>1.1512152</v>
      </c>
    </row>
    <row r="19" spans="2:10" ht="16" customHeight="1" x14ac:dyDescent="0.35">
      <c r="B19" s="38" t="s">
        <v>98</v>
      </c>
      <c r="C19" s="46">
        <f t="shared" ref="C19:J19" si="0">C18*7</f>
        <v>2.0783127272727269</v>
      </c>
      <c r="D19" s="46">
        <f>D18*7</f>
        <v>2.4363763199999995</v>
      </c>
      <c r="E19" s="46">
        <f t="shared" si="0"/>
        <v>4.1566254545454537</v>
      </c>
      <c r="F19" s="46">
        <f t="shared" si="0"/>
        <v>4.872752639999999</v>
      </c>
      <c r="G19" s="48">
        <f t="shared" si="0"/>
        <v>3.4020000000000001</v>
      </c>
      <c r="H19" s="48">
        <f t="shared" si="0"/>
        <v>4.0292532000000003</v>
      </c>
      <c r="I19" s="48">
        <f t="shared" si="0"/>
        <v>6.8040000000000003</v>
      </c>
      <c r="J19" s="48">
        <f t="shared" si="0"/>
        <v>8.0585064000000006</v>
      </c>
    </row>
    <row r="20" spans="2:10" ht="16" customHeight="1" x14ac:dyDescent="0.35">
      <c r="B20" s="38" t="s">
        <v>99</v>
      </c>
      <c r="C20" s="46">
        <f t="shared" ref="C20:J20" si="1">(C19*52)/12</f>
        <v>9.0060218181818161</v>
      </c>
      <c r="D20" s="46">
        <f t="shared" si="1"/>
        <v>10.557630719999997</v>
      </c>
      <c r="E20" s="46">
        <f t="shared" si="1"/>
        <v>18.012043636363632</v>
      </c>
      <c r="F20" s="46">
        <f t="shared" si="1"/>
        <v>21.115261439999994</v>
      </c>
      <c r="G20" s="48">
        <f t="shared" si="1"/>
        <v>14.741999999999999</v>
      </c>
      <c r="H20" s="48">
        <f t="shared" si="1"/>
        <v>17.460097200000003</v>
      </c>
      <c r="I20" s="48">
        <f t="shared" si="1"/>
        <v>29.483999999999998</v>
      </c>
      <c r="J20" s="48">
        <f t="shared" si="1"/>
        <v>34.920194400000007</v>
      </c>
    </row>
    <row r="21" spans="2:10" ht="16" customHeight="1" x14ac:dyDescent="0.35">
      <c r="B21" s="38" t="s">
        <v>103</v>
      </c>
      <c r="C21" s="46">
        <f>C19*I25</f>
        <v>91.445759999999979</v>
      </c>
      <c r="D21" s="46">
        <f>D19*I25</f>
        <v>107.20055807999998</v>
      </c>
      <c r="E21" s="46">
        <f>E19*I25</f>
        <v>182.89151999999996</v>
      </c>
      <c r="F21" s="46">
        <f>F19*I25</f>
        <v>214.40111615999996</v>
      </c>
      <c r="G21" s="48">
        <f>G19*I25</f>
        <v>149.68800000000002</v>
      </c>
      <c r="H21" s="48">
        <f>H19*I25</f>
        <v>177.2871408</v>
      </c>
      <c r="I21" s="48">
        <f>I19*I25</f>
        <v>299.37600000000003</v>
      </c>
      <c r="J21" s="48">
        <f>J19*I25</f>
        <v>354.57428160000001</v>
      </c>
    </row>
    <row r="23" spans="2:10" x14ac:dyDescent="0.35">
      <c r="B23" s="38" t="s">
        <v>104</v>
      </c>
      <c r="C23" s="44">
        <v>0.36</v>
      </c>
      <c r="D23" s="2"/>
      <c r="E23" s="1"/>
      <c r="F23" s="2"/>
      <c r="G23" s="2"/>
      <c r="H23" s="2"/>
      <c r="I23" s="1"/>
    </row>
    <row r="25" spans="2:10" ht="33" customHeight="1" x14ac:dyDescent="0.35">
      <c r="B25" s="39" t="s">
        <v>105</v>
      </c>
      <c r="C25" s="40" t="s">
        <v>106</v>
      </c>
      <c r="D25" s="40" t="s">
        <v>107</v>
      </c>
      <c r="E25" s="40" t="s">
        <v>108</v>
      </c>
      <c r="F25" s="40" t="s">
        <v>109</v>
      </c>
      <c r="G25" s="4"/>
      <c r="H25" s="36" t="s">
        <v>91</v>
      </c>
      <c r="I25" s="37">
        <v>44</v>
      </c>
    </row>
    <row r="26" spans="2:10" x14ac:dyDescent="0.35">
      <c r="B26" s="41">
        <v>1.5</v>
      </c>
      <c r="C26" s="42">
        <v>38</v>
      </c>
      <c r="D26" s="43">
        <f>(C26/1000)*$C$23</f>
        <v>1.3679999999999999E-2</v>
      </c>
      <c r="E26" s="43">
        <f>(1/1000)*$C$23</f>
        <v>3.5999999999999997E-4</v>
      </c>
      <c r="F26" s="43">
        <f>(D26*'RTK Flächenleistung'!Q4)+((24-'RTK Flächenleistung'!Q4)*Stromkosten!E26)</f>
        <v>0.22175999999999998</v>
      </c>
      <c r="G26" s="4"/>
      <c r="I26" s="4"/>
    </row>
    <row r="27" spans="2:10" x14ac:dyDescent="0.35">
      <c r="B27" s="41">
        <v>3</v>
      </c>
      <c r="C27" s="42">
        <v>90</v>
      </c>
      <c r="D27" s="43">
        <f>(C27/1000)*$C$23</f>
        <v>3.2399999999999998E-2</v>
      </c>
      <c r="E27" s="43">
        <f>(1/1000)*$C$23</f>
        <v>3.5999999999999997E-4</v>
      </c>
      <c r="F27" s="43">
        <f>(D27*'RTK Flächenleistung'!Q6)+((24-'RTK Flächenleistung'!Q6)*Stromkosten!E27)</f>
        <v>0.43584000000000001</v>
      </c>
      <c r="G27" s="4"/>
      <c r="I27" s="4"/>
    </row>
    <row r="28" spans="2:10" x14ac:dyDescent="0.35">
      <c r="B28" s="41">
        <v>5</v>
      </c>
      <c r="C28" s="42">
        <v>190</v>
      </c>
      <c r="D28" s="43">
        <f>(C28/1000)*$C$23</f>
        <v>6.8400000000000002E-2</v>
      </c>
      <c r="E28" s="43">
        <f>(2/1000)*$C$23</f>
        <v>7.1999999999999994E-4</v>
      </c>
      <c r="F28" s="43">
        <f>(D28*'RTK Flächenleistung'!Q7)+((24-'RTK Flächenleistung'!Q7)*Stromkosten!E28)</f>
        <v>0.748224</v>
      </c>
      <c r="G28" s="4"/>
      <c r="I28" s="4"/>
    </row>
    <row r="29" spans="2:10" x14ac:dyDescent="0.35">
      <c r="B29" s="41">
        <v>7</v>
      </c>
      <c r="C29" s="42">
        <v>230</v>
      </c>
      <c r="D29" s="43">
        <f>(C29/1000)*$C$23</f>
        <v>8.2799999999999999E-2</v>
      </c>
      <c r="E29" s="43">
        <f>(3/1000)*$C$23</f>
        <v>1.08E-3</v>
      </c>
      <c r="F29" s="43">
        <f>(D29*'RTK Flächenleistung'!Q8)+((24-'RTK Flächenleistung'!Q8)*Stromkosten!E29)</f>
        <v>1.0201799999999999</v>
      </c>
      <c r="G29" s="4"/>
      <c r="I29" s="4"/>
    </row>
    <row r="30" spans="2:10" x14ac:dyDescent="0.35">
      <c r="B30" s="41">
        <v>20</v>
      </c>
      <c r="C30" s="42">
        <v>640</v>
      </c>
      <c r="D30" s="43">
        <f>(C30/1000)*$C$23</f>
        <v>0.23039999999999999</v>
      </c>
      <c r="E30" s="43">
        <f>(3/1000)*$C$23</f>
        <v>1.08E-3</v>
      </c>
      <c r="F30" s="43">
        <f>(D30*'RTK Flächenleistung'!Q9)+((24-'RTK Flächenleistung'!Q9)*Stromkosten!E30)</f>
        <v>1.7458199999999999</v>
      </c>
      <c r="G30" s="4"/>
      <c r="I30" s="4"/>
    </row>
    <row r="31" spans="2:10" x14ac:dyDescent="0.35">
      <c r="B31" s="3"/>
      <c r="C31" s="4"/>
      <c r="D31" s="5"/>
      <c r="F31" s="5"/>
      <c r="G31" s="5"/>
      <c r="H31" s="5"/>
      <c r="I31" s="4"/>
    </row>
    <row r="32" spans="2:10" x14ac:dyDescent="0.35">
      <c r="B32" s="3"/>
      <c r="C32" s="4"/>
      <c r="D32" s="5"/>
      <c r="E32" s="5"/>
      <c r="F32" s="5"/>
      <c r="G32" s="5"/>
      <c r="H32" s="5"/>
      <c r="I32" s="4"/>
    </row>
    <row r="33" spans="2:10" ht="17.25" customHeight="1" x14ac:dyDescent="0.35">
      <c r="B33" s="71" t="s">
        <v>111</v>
      </c>
      <c r="C33" s="71"/>
      <c r="D33" s="71"/>
      <c r="E33" s="71"/>
      <c r="F33" s="71"/>
      <c r="G33" s="71"/>
      <c r="H33" s="71"/>
      <c r="I33" s="71"/>
      <c r="J33" s="71"/>
    </row>
    <row r="34" spans="2:10" ht="21.75" customHeight="1" x14ac:dyDescent="0.35">
      <c r="B34" s="71" t="s">
        <v>112</v>
      </c>
      <c r="C34" s="71"/>
      <c r="D34" s="71"/>
      <c r="E34" s="71"/>
      <c r="F34" s="71"/>
      <c r="G34" s="71"/>
      <c r="H34" s="71"/>
      <c r="I34" s="71"/>
      <c r="J34" s="71"/>
    </row>
    <row r="35" spans="2:10" ht="39.5" customHeight="1" x14ac:dyDescent="0.35">
      <c r="B35" s="72" t="s">
        <v>110</v>
      </c>
      <c r="C35" s="72"/>
      <c r="D35" s="72"/>
      <c r="E35" s="72"/>
      <c r="F35" s="72"/>
      <c r="G35" s="72"/>
      <c r="H35" s="72"/>
    </row>
  </sheetData>
  <mergeCells count="57">
    <mergeCell ref="B33:J33"/>
    <mergeCell ref="B34:J34"/>
    <mergeCell ref="B35:H35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5:D5"/>
    <mergeCell ref="E5:F5"/>
    <mergeCell ref="G5:H5"/>
    <mergeCell ref="I5:J5"/>
    <mergeCell ref="C6:D6"/>
    <mergeCell ref="E6:F6"/>
    <mergeCell ref="G6:H6"/>
    <mergeCell ref="I6:J6"/>
    <mergeCell ref="C3:F3"/>
    <mergeCell ref="G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e2ab5e-e4bc-46db-9c53-23d0e893e76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4E354467D5041F44B32F24D0DDBABBEB" ma:contentTypeVersion="18" ma:contentTypeDescription="新建文档。" ma:contentTypeScope="" ma:versionID="d31e0310178e303b8bff1ba6b360662b">
  <xsd:schema xmlns:xsd="http://www.w3.org/2001/XMLSchema" xmlns:xs="http://www.w3.org/2001/XMLSchema" xmlns:p="http://schemas.microsoft.com/office/2006/metadata/properties" xmlns:ns3="aa59e3a0-62a8-4dbc-81cd-4514eba2eb69" xmlns:ns4="57e2ab5e-e4bc-46db-9c53-23d0e893e76f" targetNamespace="http://schemas.microsoft.com/office/2006/metadata/properties" ma:root="true" ma:fieldsID="5dcb15bfefa2d8dca09d81440b3f0e13" ns3:_="" ns4:_="">
    <xsd:import namespace="aa59e3a0-62a8-4dbc-81cd-4514eba2eb69"/>
    <xsd:import namespace="57e2ab5e-e4bc-46db-9c53-23d0e893e76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9e3a0-62a8-4dbc-81cd-4514eba2eb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享对象详细信息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享提示哈希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2ab5e-e4bc-46db-9c53-23d0e893e7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84A300-E810-4FBF-BF0C-DFCEEB278722}">
  <ds:schemaRefs>
    <ds:schemaRef ds:uri="http://schemas.microsoft.com/office/2006/documentManagement/types"/>
    <ds:schemaRef ds:uri="aa59e3a0-62a8-4dbc-81cd-4514eba2eb6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57e2ab5e-e4bc-46db-9c53-23d0e893e76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BD19433-243F-4B40-9B40-6F7A85E03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59e3a0-62a8-4dbc-81cd-4514eba2eb69"/>
    <ds:schemaRef ds:uri="57e2ab5e-e4bc-46db-9c53-23d0e893e7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4AA576-D980-49D2-8B37-6B7F8E4132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RTK Flächenleistung</vt:lpstr>
      <vt:lpstr>Stromkosten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Kirkwood (Positec UK)</dc:creator>
  <cp:lastModifiedBy>Fritz Wieland (Positec Ger)</cp:lastModifiedBy>
  <dcterms:created xsi:type="dcterms:W3CDTF">2023-02-15T08:59:29Z</dcterms:created>
  <dcterms:modified xsi:type="dcterms:W3CDTF">2024-04-19T10:54:48Z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0x0101004E354467D5041F44B32F24D0DDBABBEB</vt:lpwstr>
  </property>
</Properties>
</file>